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166925"/>
  <mc:AlternateContent xmlns:mc="http://schemas.openxmlformats.org/markup-compatibility/2006">
    <mc:Choice Requires="x15">
      <x15ac:absPath xmlns:x15ac="http://schemas.microsoft.com/office/spreadsheetml/2010/11/ac" url="P:\AM-PM\Kranken\Tools unabgestimmt\KV LV Selbständige\"/>
    </mc:Choice>
  </mc:AlternateContent>
  <xr:revisionPtr revIDLastSave="0" documentId="13_ncr:1_{EB4A43AD-C50A-4742-AC99-652C28A4CE18}" xr6:coauthVersionLast="47" xr6:coauthVersionMax="47" xr10:uidLastSave="{00000000-0000-0000-0000-000000000000}"/>
  <bookViews>
    <workbookView xWindow="645" yWindow="1500" windowWidth="33000" windowHeight="18465" xr2:uid="{9664F9EF-D0E8-403A-A54D-AC62904A46A0}"/>
  </bookViews>
  <sheets>
    <sheet name="Übersicht" sheetId="1" r:id="rId1"/>
    <sheet name="Tabelle1" sheetId="7" state="hidden" r:id="rId2"/>
    <sheet name="Tabelle2" sheetId="2" state="hidden" r:id="rId3"/>
    <sheet name="Beiträge" sheetId="6" state="hidden" r:id="rId4"/>
    <sheet name="Steuer" sheetId="3" state="hidden" r:id="rId5"/>
    <sheet name="Rentenberechnung" sheetId="4" state="hidden" r:id="rId6"/>
    <sheet name="GKVListe" sheetId="5" state="hidden" r:id="rId7"/>
  </sheets>
  <definedNames>
    <definedName name="_xlnm.Print_Area" localSheetId="0">Übersicht!$A$1:$O$133</definedName>
    <definedName name="krankAngestellt">Tabelle2!$A$72</definedName>
    <definedName name="krankSelbständig">Tabelle2!$A$74:$A$75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 l="1"/>
  <c r="F7" i="3"/>
  <c r="D30" i="3"/>
  <c r="D31" i="3"/>
  <c r="D29" i="3"/>
  <c r="C29" i="3"/>
  <c r="B17" i="3"/>
  <c r="A17" i="3"/>
  <c r="C98" i="1" l="1"/>
  <c r="C44" i="1"/>
  <c r="C103" i="1"/>
  <c r="B62" i="2"/>
  <c r="L24" i="1"/>
  <c r="L2" i="2"/>
  <c r="E39" i="1" s="1"/>
  <c r="B52" i="2" l="1"/>
  <c r="L44" i="1"/>
  <c r="E92" i="1"/>
  <c r="C92" i="1"/>
  <c r="C94" i="1"/>
  <c r="C96" i="1"/>
  <c r="C88" i="1" s="1"/>
  <c r="B127" i="1"/>
  <c r="H125" i="1"/>
  <c r="F125" i="1"/>
  <c r="AQ3" i="6"/>
  <c r="AQ4" i="6"/>
  <c r="AQ5" i="6"/>
  <c r="AQ6" i="6"/>
  <c r="AQ7" i="6"/>
  <c r="AQ8" i="6"/>
  <c r="AQ9" i="6"/>
  <c r="AQ10" i="6"/>
  <c r="AQ11" i="6"/>
  <c r="AQ12" i="6"/>
  <c r="AQ13" i="6"/>
  <c r="AQ14" i="6"/>
  <c r="AQ15" i="6"/>
  <c r="AQ16" i="6"/>
  <c r="AQ17" i="6"/>
  <c r="AQ18" i="6"/>
  <c r="AQ19" i="6"/>
  <c r="AQ20" i="6"/>
  <c r="AQ21" i="6"/>
  <c r="AQ2" i="6"/>
  <c r="AQ22" i="6"/>
  <c r="AQ23" i="6"/>
  <c r="AQ24" i="6"/>
  <c r="AQ25" i="6"/>
  <c r="AQ26" i="6"/>
  <c r="AQ27" i="6"/>
  <c r="AQ28" i="6"/>
  <c r="AQ29" i="6"/>
  <c r="AQ30" i="6"/>
  <c r="AQ31" i="6"/>
  <c r="AQ32" i="6"/>
  <c r="AQ33" i="6"/>
  <c r="AQ34" i="6"/>
  <c r="AQ35" i="6"/>
  <c r="AQ36" i="6"/>
  <c r="AQ37" i="6"/>
  <c r="AQ38" i="6"/>
  <c r="AQ39" i="6"/>
  <c r="AQ40" i="6"/>
  <c r="AQ41" i="6"/>
  <c r="AQ42" i="6"/>
  <c r="AQ43" i="6"/>
  <c r="AQ44" i="6"/>
  <c r="AQ45" i="6"/>
  <c r="AQ46" i="6"/>
  <c r="AQ47" i="6"/>
  <c r="AQ48" i="6"/>
  <c r="AQ49" i="6"/>
  <c r="AQ50" i="6"/>
  <c r="AQ51" i="6"/>
  <c r="AQ52" i="6"/>
  <c r="AQ53" i="6"/>
  <c r="AQ54" i="6"/>
  <c r="AQ55" i="6"/>
  <c r="AQ56" i="6"/>
  <c r="AQ57" i="6"/>
  <c r="AQ58" i="6"/>
  <c r="AQ59" i="6"/>
  <c r="AQ60" i="6"/>
  <c r="AQ61" i="6"/>
  <c r="AQ62" i="6"/>
  <c r="AO3" i="6"/>
  <c r="AO4" i="6"/>
  <c r="AO5" i="6"/>
  <c r="AO6" i="6"/>
  <c r="AO7" i="6"/>
  <c r="AO8" i="6"/>
  <c r="AO9" i="6"/>
  <c r="AO10" i="6"/>
  <c r="AO11" i="6"/>
  <c r="AO12" i="6"/>
  <c r="AO13" i="6"/>
  <c r="AO14" i="6"/>
  <c r="AO15" i="6"/>
  <c r="AO16" i="6"/>
  <c r="AO17" i="6"/>
  <c r="AO18" i="6"/>
  <c r="AO19" i="6"/>
  <c r="AO20" i="6"/>
  <c r="AO21" i="6"/>
  <c r="AO22" i="6"/>
  <c r="AO23" i="6"/>
  <c r="AO24" i="6"/>
  <c r="AO25" i="6"/>
  <c r="AO26" i="6"/>
  <c r="AO27" i="6"/>
  <c r="AO28" i="6"/>
  <c r="AO29" i="6"/>
  <c r="AO30" i="6"/>
  <c r="AO31" i="6"/>
  <c r="AO32" i="6"/>
  <c r="AO33" i="6"/>
  <c r="AO34" i="6"/>
  <c r="AO35" i="6"/>
  <c r="AO36" i="6"/>
  <c r="AO37" i="6"/>
  <c r="AO38" i="6"/>
  <c r="AO39" i="6"/>
  <c r="AO40" i="6"/>
  <c r="AO41" i="6"/>
  <c r="AO42" i="6"/>
  <c r="AO43" i="6"/>
  <c r="AO44" i="6"/>
  <c r="AO45" i="6"/>
  <c r="AO46" i="6"/>
  <c r="AO47" i="6"/>
  <c r="AO48" i="6"/>
  <c r="AO49" i="6"/>
  <c r="AO50" i="6"/>
  <c r="AO51" i="6"/>
  <c r="AO52" i="6"/>
  <c r="AO53" i="6"/>
  <c r="AO54" i="6"/>
  <c r="AO55" i="6"/>
  <c r="AO56" i="6"/>
  <c r="AO57" i="6"/>
  <c r="AO58" i="6"/>
  <c r="AO59" i="6"/>
  <c r="AO60" i="6"/>
  <c r="AO61" i="6"/>
  <c r="AO62" i="6"/>
  <c r="AO2" i="6"/>
  <c r="F106" i="1" l="1"/>
  <c r="L5" i="2"/>
  <c r="AM3" i="6"/>
  <c r="AM4" i="6"/>
  <c r="AM5" i="6"/>
  <c r="AM6" i="6"/>
  <c r="AM7" i="6"/>
  <c r="AM8" i="6"/>
  <c r="AM9" i="6"/>
  <c r="AM10" i="6"/>
  <c r="AM11" i="6"/>
  <c r="AM12" i="6"/>
  <c r="AM13" i="6"/>
  <c r="AM14" i="6"/>
  <c r="AM15" i="6"/>
  <c r="AM16" i="6"/>
  <c r="AM17" i="6"/>
  <c r="AM18" i="6"/>
  <c r="AM19" i="6"/>
  <c r="AM20" i="6"/>
  <c r="AM21" i="6"/>
  <c r="AM22" i="6"/>
  <c r="AM23" i="6"/>
  <c r="AM24" i="6"/>
  <c r="AM25" i="6"/>
  <c r="AM26" i="6"/>
  <c r="AM27" i="6"/>
  <c r="AM28" i="6"/>
  <c r="AM29" i="6"/>
  <c r="AM30" i="6"/>
  <c r="AM31" i="6"/>
  <c r="AM32" i="6"/>
  <c r="AM33" i="6"/>
  <c r="AM34" i="6"/>
  <c r="AM35" i="6"/>
  <c r="AM36" i="6"/>
  <c r="AM37" i="6"/>
  <c r="AM38" i="6"/>
  <c r="AM39" i="6"/>
  <c r="AM40" i="6"/>
  <c r="AM41" i="6"/>
  <c r="AM42" i="6"/>
  <c r="AM43" i="6"/>
  <c r="AM44" i="6"/>
  <c r="AM45" i="6"/>
  <c r="AM46" i="6"/>
  <c r="AM47" i="6"/>
  <c r="AM48" i="6"/>
  <c r="AM49" i="6"/>
  <c r="AM50" i="6"/>
  <c r="AM51" i="6"/>
  <c r="AM52" i="6"/>
  <c r="AM53" i="6"/>
  <c r="AM54" i="6"/>
  <c r="AM55" i="6"/>
  <c r="AM56" i="6"/>
  <c r="AM57" i="6"/>
  <c r="AM58" i="6"/>
  <c r="AM59" i="6"/>
  <c r="AM60" i="6"/>
  <c r="AM61" i="6"/>
  <c r="AM62" i="6"/>
  <c r="AM2" i="6"/>
  <c r="X62" i="6"/>
  <c r="X61" i="6"/>
  <c r="X60" i="6"/>
  <c r="X59" i="6"/>
  <c r="X58" i="6"/>
  <c r="X57" i="6"/>
  <c r="X56" i="6"/>
  <c r="X55" i="6"/>
  <c r="X54" i="6"/>
  <c r="X53" i="6"/>
  <c r="X52" i="6"/>
  <c r="X51" i="6"/>
  <c r="X50" i="6"/>
  <c r="X49" i="6"/>
  <c r="X48" i="6"/>
  <c r="X47" i="6"/>
  <c r="X46" i="6"/>
  <c r="X45" i="6"/>
  <c r="X44" i="6"/>
  <c r="X43" i="6"/>
  <c r="X42" i="6"/>
  <c r="X41" i="6"/>
  <c r="X40" i="6"/>
  <c r="X39" i="6"/>
  <c r="X38" i="6"/>
  <c r="X37" i="6"/>
  <c r="X36" i="6"/>
  <c r="X35" i="6"/>
  <c r="X34" i="6"/>
  <c r="X33" i="6"/>
  <c r="X32" i="6"/>
  <c r="X31" i="6"/>
  <c r="X30" i="6"/>
  <c r="X29" i="6"/>
  <c r="X28" i="6"/>
  <c r="X27" i="6"/>
  <c r="X26" i="6"/>
  <c r="X25" i="6"/>
  <c r="X24" i="6"/>
  <c r="X23" i="6"/>
  <c r="X22" i="6"/>
  <c r="X21" i="6"/>
  <c r="X20" i="6"/>
  <c r="X19" i="6"/>
  <c r="X18" i="6"/>
  <c r="X17" i="6"/>
  <c r="X16" i="6"/>
  <c r="X15" i="6"/>
  <c r="X14" i="6"/>
  <c r="X13" i="6"/>
  <c r="X12" i="6"/>
  <c r="X11" i="6"/>
  <c r="X10" i="6"/>
  <c r="X9" i="6"/>
  <c r="X8" i="6"/>
  <c r="X7" i="6"/>
  <c r="X6" i="6"/>
  <c r="X5" i="6"/>
  <c r="X4" i="6"/>
  <c r="X3" i="6"/>
  <c r="X2" i="6"/>
  <c r="J16" i="1"/>
  <c r="D43" i="2" s="1"/>
  <c r="J14" i="1"/>
  <c r="C43" i="2" s="1"/>
  <c r="F49" i="1"/>
  <c r="N49" i="1"/>
  <c r="C61" i="2"/>
  <c r="C2" i="4"/>
  <c r="C44" i="2" l="1"/>
  <c r="E44" i="2"/>
  <c r="F43" i="2"/>
  <c r="E43" i="2"/>
  <c r="E61" i="2" l="1"/>
  <c r="N31" i="1"/>
  <c r="B44" i="2"/>
  <c r="N29" i="1" s="1"/>
  <c r="B43" i="2"/>
  <c r="C1" i="2"/>
  <c r="B116" i="1" l="1"/>
  <c r="B115" i="1"/>
  <c r="C114" i="1"/>
  <c r="C67" i="1"/>
  <c r="C62" i="2"/>
  <c r="C24" i="2"/>
  <c r="B24" i="2" s="1"/>
  <c r="F98" i="1" s="1"/>
  <c r="J98" i="1" s="1"/>
  <c r="N44" i="1"/>
  <c r="B21" i="2"/>
  <c r="B39" i="2" s="1"/>
  <c r="B3" i="2"/>
  <c r="B22" i="2"/>
  <c r="B40" i="2" s="1"/>
  <c r="F41" i="1" s="1"/>
  <c r="B8" i="2"/>
  <c r="C8" i="2"/>
  <c r="B10" i="2"/>
  <c r="C10" i="2"/>
  <c r="B61" i="2"/>
  <c r="N48" i="1"/>
  <c r="N46" i="1" s="1"/>
  <c r="B66" i="2"/>
  <c r="C68" i="2"/>
  <c r="B67" i="2" s="1"/>
  <c r="D61" i="2"/>
  <c r="C19" i="2"/>
  <c r="D50" i="2"/>
  <c r="C52" i="2" s="1"/>
  <c r="C18" i="2"/>
  <c r="C17" i="2"/>
  <c r="B15" i="2"/>
  <c r="F94" i="1" s="1"/>
  <c r="J94" i="1" s="1"/>
  <c r="B11" i="2"/>
  <c r="B7" i="2"/>
  <c r="B5" i="2"/>
  <c r="B13" i="2"/>
  <c r="C9" i="2" s="1"/>
  <c r="E31" i="3" l="1"/>
  <c r="H31" i="3" s="1"/>
  <c r="E6" i="3"/>
  <c r="G6" i="3" s="1"/>
  <c r="F43" i="1"/>
  <c r="F96" i="1"/>
  <c r="J96" i="1" s="1"/>
  <c r="B9" i="2"/>
  <c r="B29" i="2"/>
  <c r="B4" i="2"/>
  <c r="B31" i="2"/>
  <c r="B6" i="2"/>
  <c r="F88" i="1" s="1"/>
  <c r="J88" i="1" s="1"/>
  <c r="F31" i="1"/>
  <c r="E9" i="3" s="1"/>
  <c r="G9" i="3" s="1"/>
  <c r="F90" i="1"/>
  <c r="J90" i="1" s="1"/>
  <c r="B26" i="2"/>
  <c r="C26" i="2"/>
  <c r="B27" i="2"/>
  <c r="C27" i="2"/>
  <c r="C123" i="1"/>
  <c r="C126" i="1"/>
  <c r="C127" i="1" s="1"/>
  <c r="E50" i="2"/>
  <c r="F33" i="1"/>
  <c r="B68" i="2"/>
  <c r="F35" i="1" s="1"/>
  <c r="B35" i="2"/>
  <c r="B33" i="2"/>
  <c r="B37" i="2"/>
  <c r="F37" i="1" s="1"/>
  <c r="E8" i="3" s="1"/>
  <c r="F31" i="3" l="1"/>
  <c r="H29" i="1"/>
  <c r="E30" i="3"/>
  <c r="F92" i="1"/>
  <c r="J92" i="1" s="1"/>
  <c r="J4" i="2"/>
  <c r="B32" i="2"/>
  <c r="F29" i="1" s="1"/>
  <c r="E5" i="3" s="1"/>
  <c r="C28" i="2"/>
  <c r="B28" i="2"/>
  <c r="B30" i="2"/>
  <c r="G5" i="3" l="1"/>
  <c r="E12" i="3"/>
  <c r="F30" i="3"/>
  <c r="H30" i="3"/>
  <c r="H29" i="3"/>
  <c r="E29" i="3"/>
  <c r="F29" i="3" l="1"/>
  <c r="E33" i="3"/>
  <c r="B18" i="2"/>
  <c r="B17" i="2"/>
  <c r="C20" i="1"/>
  <c r="B19" i="2"/>
  <c r="F39" i="1" s="1"/>
  <c r="F48" i="1" l="1"/>
  <c r="I4" i="2"/>
  <c r="F44" i="1" s="1"/>
  <c r="H48" i="1"/>
  <c r="B50" i="2"/>
  <c r="C60" i="2" l="1"/>
  <c r="C59" i="2"/>
  <c r="F46" i="1"/>
  <c r="E36" i="3"/>
  <c r="H46" i="1"/>
  <c r="H44" i="1"/>
  <c r="F123" i="1"/>
  <c r="F126" i="1" s="1"/>
  <c r="F127" i="1" s="1"/>
  <c r="F128" i="1" s="1"/>
  <c r="H123" i="1"/>
  <c r="H126" i="1" s="1"/>
  <c r="H127" i="1" s="1"/>
  <c r="H128" i="1" s="1"/>
  <c r="C75" i="1"/>
  <c r="B51" i="2"/>
  <c r="C51" i="2" s="1"/>
  <c r="C50" i="2"/>
  <c r="E59" i="2" l="1"/>
  <c r="B59" i="2" s="1"/>
  <c r="F52" i="1"/>
  <c r="E60" i="2"/>
  <c r="B60" i="2" s="1"/>
  <c r="C49" i="2"/>
  <c r="B49" i="2" s="1"/>
  <c r="E60" i="1"/>
  <c r="F102" i="1" s="1"/>
  <c r="J102" i="1" s="1"/>
  <c r="F60" i="1"/>
  <c r="D59" i="2" l="1"/>
  <c r="E58" i="2"/>
  <c r="D58" i="2"/>
  <c r="D60" i="2"/>
  <c r="F6" i="3"/>
  <c r="E7" i="3" s="1"/>
  <c r="G7" i="3" s="1"/>
  <c r="G10" i="3" s="1"/>
  <c r="G11" i="3" s="1"/>
  <c r="F32" i="3"/>
  <c r="F33" i="3" s="1"/>
  <c r="G33" i="3" s="1"/>
  <c r="H32" i="3"/>
  <c r="H33" i="3" s="1"/>
  <c r="I33" i="3" s="1"/>
  <c r="I6" i="2"/>
  <c r="C77" i="1" s="1"/>
  <c r="B58" i="2"/>
  <c r="F65" i="1" s="1"/>
  <c r="C76" i="1"/>
  <c r="F100" i="1"/>
  <c r="G35" i="3" l="1"/>
  <c r="E10" i="3"/>
  <c r="E11" i="3" s="1"/>
  <c r="C58" i="2"/>
  <c r="E65" i="1" s="1"/>
  <c r="C80" i="1"/>
  <c r="J100" i="1"/>
  <c r="G9" i="2"/>
  <c r="G10" i="2" s="1"/>
  <c r="F103" i="1" s="1"/>
  <c r="F105" i="1" l="1"/>
  <c r="F77" i="1"/>
  <c r="I35" i="3"/>
  <c r="H9" i="2"/>
  <c r="H10" i="2" s="1"/>
  <c r="J103" i="1" s="1"/>
  <c r="F79" i="1"/>
  <c r="C79" i="1"/>
  <c r="J105" i="1" l="1"/>
  <c r="F80" i="1"/>
  <c r="M80" i="1" l="1"/>
  <c r="G7" i="4" s="1"/>
  <c r="K80" i="1"/>
  <c r="C7" i="4" s="1"/>
  <c r="F112" i="1" l="1"/>
  <c r="F113" i="1"/>
  <c r="C112" i="1"/>
  <c r="C113" i="1"/>
  <c r="G15" i="4"/>
  <c r="G17" i="4"/>
  <c r="G16" i="4"/>
  <c r="G27" i="4"/>
  <c r="G33" i="4"/>
  <c r="G32" i="4"/>
  <c r="G23" i="4"/>
  <c r="G31" i="4"/>
  <c r="G36" i="4"/>
  <c r="G37" i="4"/>
  <c r="G34" i="4"/>
  <c r="G35" i="4"/>
  <c r="G20" i="4"/>
  <c r="G28" i="4"/>
  <c r="G19" i="4"/>
  <c r="G18" i="4"/>
  <c r="G22" i="4"/>
  <c r="G14" i="4"/>
  <c r="G21" i="4"/>
  <c r="G30" i="4"/>
  <c r="G24" i="4"/>
  <c r="G29" i="4"/>
  <c r="E32" i="4"/>
  <c r="E37" i="4"/>
  <c r="E18" i="4"/>
  <c r="E35" i="4"/>
  <c r="C11" i="4" s="1"/>
  <c r="E27" i="4"/>
  <c r="E19" i="4"/>
  <c r="E34" i="4"/>
  <c r="E23" i="4"/>
  <c r="E33" i="4"/>
  <c r="E24" i="4"/>
  <c r="E31" i="4"/>
  <c r="E16" i="4"/>
  <c r="E30" i="4"/>
  <c r="E17" i="4"/>
  <c r="E29" i="4"/>
  <c r="E20" i="4"/>
  <c r="E15" i="4"/>
  <c r="E22" i="4"/>
  <c r="E36" i="4"/>
  <c r="E21" i="4"/>
  <c r="E14" i="4"/>
  <c r="E28" i="4"/>
  <c r="C9" i="4" l="1"/>
  <c r="C115" i="1" s="1"/>
  <c r="G9" i="4"/>
  <c r="F115" i="1" s="1"/>
  <c r="G11" i="4"/>
  <c r="F116" i="1" s="1"/>
  <c r="C1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Garwels, Ralf-Dieter</author>
    <author>Keibel, Nicole</author>
  </authors>
  <commentList>
    <comment ref="M8" authorId="0" shapeId="0" xr:uid="{1D4ABAF2-2324-4DA2-AC1C-880D27F0D85A}">
      <text>
        <r>
          <rPr>
            <sz val="9"/>
            <color indexed="81"/>
            <rFont val="Segoe UI"/>
            <family val="2"/>
          </rPr>
          <t>Hier wählen Sie die Krankenkasse aus, bei der Ihr Kunde aktuell versichert ist. Damit wird automatisch der jeweils aktuelle Zusatzbeitrag ausgegeben
Beispiel: Ihr Kunde ist bei der AOK Baden-Württemberg versichert. Geben Sie einfach AOK ein. Sie erhalten eine Liste aller AOKn und wählen AOK Baden-Würtemberg aus.</t>
        </r>
      </text>
    </comment>
    <comment ref="D16" authorId="0" shapeId="0" xr:uid="{C4BA89D7-C83B-4490-8D36-F4E17F1A6D06}">
      <text>
        <r>
          <rPr>
            <sz val="9"/>
            <color indexed="81"/>
            <rFont val="Segoe UI"/>
            <family val="2"/>
          </rPr>
          <t>Hier geben Sie die Anzahl der Kinder des Interessenten an. Damit wird automatisch der Beitragssatz für die Pflege ausgegeben.</t>
        </r>
      </text>
    </comment>
    <comment ref="D20" authorId="0" shapeId="0" xr:uid="{895CFB42-98C0-473D-9430-4D34E5E734BC}">
      <text>
        <r>
          <rPr>
            <sz val="9"/>
            <color indexed="81"/>
            <rFont val="Segoe UI"/>
            <family val="2"/>
          </rPr>
          <t xml:space="preserve">Aus Ihrem Jahreseinkommen berechnen wir den maximal möglichen Verdienstausfall bis </t>
        </r>
        <r>
          <rPr>
            <b/>
            <sz val="9"/>
            <color indexed="81"/>
            <rFont val="Segoe UI"/>
            <family val="2"/>
          </rPr>
          <t>maximal 200 EUR pro Tag</t>
        </r>
        <r>
          <rPr>
            <sz val="9"/>
            <color indexed="81"/>
            <rFont val="Segoe UI"/>
            <family val="2"/>
          </rPr>
          <t xml:space="preserve">. 200 EUR pro Tag ist die maximal mögliche Absicherung der Tarife T22 und T29.
Wenn Sie die Höhe der Absicherung individuell wählen wollen, tragen Sie  bitte rechts das gewünschte Tagegeld ein. 
Wenn sie den </t>
        </r>
        <r>
          <rPr>
            <b/>
            <sz val="9"/>
            <color indexed="81"/>
            <rFont val="Segoe UI"/>
            <family val="2"/>
          </rPr>
          <t xml:space="preserve">Tarif T43 </t>
        </r>
        <r>
          <rPr>
            <sz val="9"/>
            <color indexed="81"/>
            <rFont val="Segoe UI"/>
            <family val="2"/>
          </rPr>
          <t xml:space="preserve">wählen, ist eine Absicherung bis </t>
        </r>
        <r>
          <rPr>
            <b/>
            <sz val="9"/>
            <color indexed="81"/>
            <rFont val="Segoe UI"/>
            <family val="2"/>
          </rPr>
          <t>maximal 400 EUR</t>
        </r>
        <r>
          <rPr>
            <sz val="9"/>
            <color indexed="81"/>
            <rFont val="Segoe UI"/>
            <family val="2"/>
          </rPr>
          <t xml:space="preserve"> pro Tag möglich. </t>
        </r>
      </text>
    </comment>
    <comment ref="D29" authorId="0" shapeId="0" xr:uid="{3AABD95E-69D6-4948-BDF2-1094565D44A8}">
      <text>
        <r>
          <rPr>
            <sz val="9"/>
            <color indexed="81"/>
            <rFont val="Segoe UI"/>
            <family val="2"/>
          </rPr>
          <t>DropDown Menü Tarif ändern</t>
        </r>
      </text>
    </comment>
    <comment ref="M29" authorId="0" shapeId="0" xr:uid="{D4A0E48B-36F9-4E0E-B386-AAFA329D9D3E}">
      <text>
        <r>
          <rPr>
            <sz val="9"/>
            <color indexed="81"/>
            <rFont val="Segoe UI"/>
            <family val="2"/>
          </rPr>
          <t>DropDown Menü zum Umschalten des Leistungsinhalts.</t>
        </r>
      </text>
    </comment>
    <comment ref="D33" authorId="0" shapeId="0" xr:uid="{F2659CD9-0D62-4481-966C-49B8FA436ABA}">
      <text>
        <r>
          <rPr>
            <sz val="9"/>
            <color indexed="81"/>
            <rFont val="Segoe UI"/>
            <family val="2"/>
          </rPr>
          <t>DropDown Menü, Tarif an- und abwählen</t>
        </r>
      </text>
    </comment>
    <comment ref="D35" authorId="0" shapeId="0" xr:uid="{7266B11A-55FF-41A4-A53F-0047EBDDFF7F}">
      <text>
        <r>
          <rPr>
            <sz val="9"/>
            <color indexed="81"/>
            <rFont val="Segoe UI"/>
            <family val="2"/>
          </rPr>
          <t>DropDown Menü, Tarif an- und abwählen. Im rechten Feld geben Sie die Höhe des gewünschten Versicherungsschutzes ein.</t>
        </r>
      </text>
    </comment>
    <comment ref="D37" authorId="0" shapeId="0" xr:uid="{C17DECB4-45E6-4338-9341-63AA4A5126B9}">
      <text>
        <r>
          <rPr>
            <sz val="9"/>
            <color indexed="81"/>
            <rFont val="Segoe UI"/>
            <family val="2"/>
          </rPr>
          <t>DropDown Menü, Tarif an- und abwählen</t>
        </r>
      </text>
    </comment>
    <comment ref="D39" authorId="0" shapeId="0" xr:uid="{C60CA46E-CCC0-4DC1-9F53-064B5C271AA1}">
      <text>
        <r>
          <rPr>
            <sz val="9"/>
            <color indexed="81"/>
            <rFont val="Segoe UI"/>
            <family val="2"/>
          </rPr>
          <t>DropDown Menü, Tarif an- und abwählen. Im rechten Feld wird das gewünschte Krankengeld, s. o., ausgegeben.</t>
        </r>
      </text>
    </comment>
    <comment ref="D41" authorId="0" shapeId="0" xr:uid="{6C8BB0A7-A7BC-4307-AACE-FD75600EB2B9}">
      <text>
        <r>
          <rPr>
            <sz val="9"/>
            <color indexed="81"/>
            <rFont val="Segoe UI"/>
            <family val="2"/>
          </rPr>
          <t>DropDown Menü Tarif an- und abwählen</t>
        </r>
      </text>
    </comment>
    <comment ref="D43" authorId="0" shapeId="0" xr:uid="{FE10DFA6-0220-414B-B2A3-CBB40DC955E7}">
      <text>
        <r>
          <rPr>
            <sz val="9"/>
            <color indexed="81"/>
            <rFont val="Segoe UI"/>
            <family val="2"/>
          </rPr>
          <t>DropDown Menü, Tarif an- und abwählen. Im rechten Feld geben Sie die Höhe des gewünschten Versicherungsschutzes ein.</t>
        </r>
      </text>
    </comment>
    <comment ref="L55" authorId="1" shapeId="0" xr:uid="{EC9BBBAB-7822-460F-B321-BAF16F3047EF}">
      <text>
        <r>
          <rPr>
            <sz val="9"/>
            <color indexed="81"/>
            <rFont val="Segoe UI"/>
            <family val="2"/>
          </rPr>
          <t>Alle dargestellten Werte stellen einen Ausschnitt unserer individuellen Vertragsinformation dar. Sie sind nur beispielhaft und daher unverbindlich. Diese Berechnungen ersetzen weder eine Beratung noch eine individuelle Angebotserstellung. 
Basis Rente:</t>
        </r>
        <r>
          <rPr>
            <sz val="9"/>
            <color indexed="81"/>
            <rFont val="Segoe UI"/>
            <family val="2"/>
          </rPr>
          <t xml:space="preserve">
Für die Berechnung würde unser Produkt "Basis Care Invest" als fondsgebundene, teildynamische Rente ohne Todesfallleistung zugrunde gelegt. Die Berechnungen erfolgen mit einer gleichbleibenden Wertentwicklung vor Abzug von Fondskosten von 6%. Der EUR-Wert berücksichtigt die jeweiligen Fondskosten von 0,03% (SPDR S&amp;P 500 UCITS ETF).</t>
        </r>
      </text>
    </comment>
    <comment ref="D60" authorId="0" shapeId="0" xr:uid="{6990FDBE-0FFC-4DC4-8A66-083668BEED40}">
      <text>
        <r>
          <rPr>
            <b/>
            <sz val="9"/>
            <color indexed="81"/>
            <rFont val="Segoe UI"/>
            <family val="2"/>
          </rPr>
          <t>Wählen Sie aus:</t>
        </r>
        <r>
          <rPr>
            <sz val="9"/>
            <color indexed="81"/>
            <rFont val="Segoe UI"/>
            <family val="2"/>
          </rPr>
          <t xml:space="preserve">
</t>
        </r>
        <r>
          <rPr>
            <b/>
            <sz val="9"/>
            <color indexed="81"/>
            <rFont val="Segoe UI"/>
            <family val="2"/>
          </rPr>
          <t xml:space="preserve">
"KV Beitrag aktuell" UNSERE EMPFEHLUNG</t>
        </r>
        <r>
          <rPr>
            <sz val="9"/>
            <color indexed="81"/>
            <rFont val="Segoe UI"/>
            <family val="2"/>
          </rPr>
          <t xml:space="preserve"> zeigt die Höhe der Absicherung auf Grundlage des errechneten Beitrages, der Beitrag des BEN bleibt unberücksichtigt,
</t>
        </r>
        <r>
          <rPr>
            <b/>
            <sz val="9"/>
            <color indexed="81"/>
            <rFont val="Segoe UI"/>
            <family val="2"/>
          </rPr>
          <t>"KV mit 1,5% Inflation"</t>
        </r>
        <r>
          <rPr>
            <sz val="9"/>
            <color indexed="81"/>
            <rFont val="Segoe UI"/>
            <family val="2"/>
          </rPr>
          <t xml:space="preserve"> rechnet die Klasse, die sich bei "KV aktuell" bis zum 65. Lebensjahr mit einer jährlichen Inflationsrate von 1,5% hoch. Hier bleiben der Beitrag des PVN und der des BEN unberücksichtigt,
</t>
        </r>
        <r>
          <rPr>
            <b/>
            <sz val="9"/>
            <color indexed="81"/>
            <rFont val="Segoe UI"/>
            <family val="2"/>
          </rPr>
          <t>"BEN Beitragsdifferenz"</t>
        </r>
        <r>
          <rPr>
            <sz val="9"/>
            <color indexed="81"/>
            <rFont val="Segoe UI"/>
            <family val="2"/>
          </rPr>
          <t xml:space="preserve"> berücksichtigt die Beitragsdifferenz zwischen dem GKV-Beitrag und dem der HanseMerkur,
</t>
        </r>
        <r>
          <rPr>
            <b/>
            <sz val="9"/>
            <color indexed="81"/>
            <rFont val="Segoe UI"/>
            <family val="2"/>
          </rPr>
          <t xml:space="preserve">
"BEN Wunschleistung"</t>
        </r>
        <r>
          <rPr>
            <sz val="9"/>
            <color indexed="81"/>
            <rFont val="Segoe UI"/>
            <family val="2"/>
          </rPr>
          <t xml:space="preserve"> berücksichtigt den in dem rechten Feld eingetragenen individuellen Absicherungswunsch. Bitte beachten Sie die Hinweise zur maximalen Leistungshöhe.</t>
        </r>
      </text>
    </comment>
    <comment ref="O60" authorId="0" shapeId="0" xr:uid="{616A3841-AA35-4B8E-99A8-B68CAE739D3A}">
      <text>
        <r>
          <rPr>
            <sz val="9"/>
            <color indexed="81"/>
            <rFont val="Segoe UI"/>
            <family val="2"/>
          </rPr>
          <t>Bei einem Gesamtbeitrag für die Krankenversicherung bis 500 EUR ist eine Leistung von maximal 1.000 EUR möglich. Bei einem Monatsbeitrag &gt;500 EUR kann das 2fache des Beitrages gewählt werden.
Sie wird bei der Beitragsermittlung berücksichtigt, wenn Sie in dem Feld links daneben "BEN Wunschleistung" auswählen.</t>
        </r>
      </text>
    </comment>
    <comment ref="D65" authorId="0" shapeId="0" xr:uid="{E6BBBE84-B515-45D9-91C2-D0C5759245D5}">
      <text>
        <r>
          <rPr>
            <b/>
            <sz val="9"/>
            <color indexed="81"/>
            <rFont val="Segoe UI"/>
            <family val="2"/>
          </rPr>
          <t xml:space="preserve">Wählen Sie aus:
"verbleibender Beitrag" UNSERE EMPFEHLUNG </t>
        </r>
        <r>
          <rPr>
            <sz val="9"/>
            <color indexed="81"/>
            <rFont val="Segoe UI"/>
            <family val="2"/>
          </rPr>
          <t>berücksichtigt die Beitragsdifferenz zwischen dem GKV-Beitrag und dem der HanseMerkur KV inklusive dem für BEN errechneten Beitrag,</t>
        </r>
        <r>
          <rPr>
            <b/>
            <sz val="9"/>
            <color indexed="81"/>
            <rFont val="Segoe UI"/>
            <family val="2"/>
          </rPr>
          <t xml:space="preserve">
"KV-Beitrag aktuell" </t>
        </r>
        <r>
          <rPr>
            <sz val="9"/>
            <color indexed="81"/>
            <rFont val="Segoe UI"/>
            <family val="2"/>
          </rPr>
          <t xml:space="preserve">zeigt die Höhe der Absicherung auf Grundlage des errechneten KV-Beitrages inklusive PVN-Beitrag
</t>
        </r>
        <r>
          <rPr>
            <b/>
            <sz val="9"/>
            <color indexed="81"/>
            <rFont val="Segoe UI"/>
            <family val="2"/>
          </rPr>
          <t xml:space="preserve">
"mit 1,5% Inflation"</t>
        </r>
        <r>
          <rPr>
            <sz val="9"/>
            <color indexed="81"/>
            <rFont val="Segoe UI"/>
            <family val="2"/>
          </rPr>
          <t xml:space="preserve"> rechnet die Klasse, die sich bei "KV-Beitrag aktuell" bis zum 67. Lebensjahr mit einer jährlichen Inflationsrate von 1,5% hoch. </t>
        </r>
        <r>
          <rPr>
            <b/>
            <sz val="9"/>
            <color indexed="81"/>
            <rFont val="Segoe UI"/>
            <family val="2"/>
          </rPr>
          <t xml:space="preserve">
"Wunschleistung" </t>
        </r>
        <r>
          <rPr>
            <sz val="9"/>
            <color indexed="81"/>
            <rFont val="Segoe UI"/>
            <family val="2"/>
          </rPr>
          <t xml:space="preserve">berücksichtigt die rechts eingetragene individuelle Wunschleistung.
</t>
        </r>
        <r>
          <rPr>
            <b/>
            <sz val="9"/>
            <color indexed="81"/>
            <rFont val="Segoe UI"/>
            <family val="2"/>
          </rPr>
          <t xml:space="preserve">"Wunschbeitrag" </t>
        </r>
        <r>
          <rPr>
            <sz val="9"/>
            <color indexed="81"/>
            <rFont val="Segoe UI"/>
            <family val="2"/>
          </rPr>
          <t>berücksichtigt den rechts eingetragenen individuellen Wunschbeitrag.</t>
        </r>
      </text>
    </comment>
    <comment ref="O65" authorId="0" shapeId="0" xr:uid="{3C159A59-D3E9-4067-9984-4AEFE1EA9AA8}">
      <text>
        <r>
          <rPr>
            <sz val="9"/>
            <color indexed="81"/>
            <rFont val="Segoe UI"/>
            <family val="2"/>
          </rPr>
          <t>Hier können Sie eine Wunschleistung für die Basisrente eingeben. Sie wird bei der Beitragsermittlung berücksichtigt, wenn Sie in dem Feld links daneben "Wunschleistung" auswählen.</t>
        </r>
      </text>
    </comment>
    <comment ref="O67" authorId="0" shapeId="0" xr:uid="{4A155553-E0CB-4364-A642-0F3431F0E930}">
      <text>
        <r>
          <rPr>
            <sz val="9"/>
            <color indexed="81"/>
            <rFont val="Segoe UI"/>
            <family val="2"/>
          </rPr>
          <t>Hier können Sie einen Wunschbeitrag für die Basisrente eingeben. Sie wird bei der Beitragsermittlung berücksichtigt, wenn Sie in dem Feld links daneben "Wunschbeitrag" auswählen.</t>
        </r>
      </text>
    </comment>
    <comment ref="L70" authorId="1" shapeId="0" xr:uid="{D2B73DB3-87A7-4B9D-8187-ADC949DDF18A}">
      <text>
        <r>
          <rPr>
            <sz val="9"/>
            <color indexed="81"/>
            <rFont val="Segoe UI"/>
            <family val="2"/>
          </rPr>
          <t>Wichtiger Hinweis zur Berechnung der steuerlichen Berücksichtigung. Grundlage für die Berechnung ist das oben angegebene Jahreseinkommen unter Berücksichtigung der errechneten Beiträge.  Das Ergebnis kann lediglich eine ungefähre Größenordnung einer möglichen steuerlichen Berücksichtigung angeben. In jedem Fall ersetzt die Berechnung nicht die Beratung durch einen professionellen Steuerberater.</t>
        </r>
      </text>
    </comment>
    <comment ref="D77" authorId="0" shapeId="0" xr:uid="{DC7660D1-9E52-4F3D-960C-12418EBA1541}">
      <text>
        <r>
          <rPr>
            <b/>
            <sz val="9"/>
            <color indexed="81"/>
            <rFont val="Segoe UI"/>
            <family val="2"/>
          </rPr>
          <t>Bei diesem Beitrag</t>
        </r>
        <r>
          <rPr>
            <sz val="9"/>
            <color indexed="81"/>
            <rFont val="Segoe UI"/>
            <family val="2"/>
          </rPr>
          <t xml:space="preserve"> ist bei einem Angestellten der Arbeitgeberzuschuss bereits abgezogen. Wenn die garantierte Beitragsrückerstattung der Tarife AZP und KVP bei der Berechnung berücksichtigt werden, ist auch die bei diesem Beitrag abgezogen.</t>
        </r>
      </text>
    </comment>
    <comment ref="D88" authorId="0" shapeId="0" xr:uid="{E167A912-6B7E-44C7-A61F-360C797C3EC0}">
      <text>
        <r>
          <rPr>
            <sz val="9"/>
            <color indexed="81"/>
            <rFont val="Segoe UI"/>
            <family val="2"/>
          </rPr>
          <t>Wenn Tarif SBE - Selbstbehalt ab Alter 65 reduzieren - berücksichtigt ist, wird aus "AZP + EGO2 + PS3" KVT1000, aus"KVP" wird KVS3, ein bestehender EKV2 bleibt bestehen</t>
        </r>
        <r>
          <rPr>
            <sz val="9"/>
            <color indexed="81"/>
            <rFont val="Segoe UI"/>
            <family val="2"/>
          </rPr>
          <t xml:space="preserve">
</t>
        </r>
      </text>
    </comment>
    <comment ref="L108" authorId="1" shapeId="0" xr:uid="{72E608DC-D105-4DF1-9A70-7309C9D86DC6}">
      <text>
        <r>
          <rPr>
            <sz val="9"/>
            <color indexed="81"/>
            <rFont val="Segoe UI"/>
            <family val="2"/>
          </rPr>
          <t>Alle dargestellten Werte stellen einen Ausschnitt unserer individuellen Vertragsinformation dar. Sie sind nur beispielhaft und daher unverbindlich. Diese Berechnungen ersetzen weder eine Beratung noch eine individuelle Angebotserstellung. 
Private Rente:
Für die Berechnung würde unser Produkt "Vario Care Invest" als fondsgebundene, teildynamische Rente ohne Todesfallleistung zugrunde gelegt. Die Berechnungen erfolgen mit einer gleichbleibenden Wertentwicklung vor Abzug von Fondskosten von 6%. Der EUR-Wert berücksichtigt die jeweiligen Fondskosten von 0,03% (SPDR S&amp;P 500 UCITS ETF).</t>
        </r>
      </text>
    </comment>
  </commentList>
</comments>
</file>

<file path=xl/sharedStrings.xml><?xml version="1.0" encoding="utf-8"?>
<sst xmlns="http://schemas.openxmlformats.org/spreadsheetml/2006/main" count="514" uniqueCount="334">
  <si>
    <t>KVS1</t>
  </si>
  <si>
    <t>KVS3</t>
  </si>
  <si>
    <t>KVT1000</t>
  </si>
  <si>
    <t>EKV2</t>
  </si>
  <si>
    <t>PSV</t>
  </si>
  <si>
    <t>PVN</t>
  </si>
  <si>
    <t>T29</t>
  </si>
  <si>
    <t>T22</t>
  </si>
  <si>
    <t>EA</t>
  </si>
  <si>
    <t>HanseMerkur</t>
  </si>
  <si>
    <t>GKV</t>
  </si>
  <si>
    <t>Name</t>
  </si>
  <si>
    <t>Geburtsjahr</t>
  </si>
  <si>
    <t>Versicherungsbeginn</t>
  </si>
  <si>
    <t>Jahreseinkommen vor Steuern</t>
  </si>
  <si>
    <t>Pflegepflicht</t>
  </si>
  <si>
    <t>ambulant, zahnärztlich und stationär</t>
  </si>
  <si>
    <t>Leistungen</t>
  </si>
  <si>
    <t>nicht gewünscht</t>
  </si>
  <si>
    <t>1-, 2-Bett und Spezialist stationär</t>
  </si>
  <si>
    <t>Verdienstausfall</t>
  </si>
  <si>
    <t>Beitragssatz Pflege</t>
  </si>
  <si>
    <t>GKV-Zusatzbeitrag</t>
  </si>
  <si>
    <t>ohne Krankengeld</t>
  </si>
  <si>
    <t>mit Krankengeld</t>
  </si>
  <si>
    <t>Beitrag</t>
  </si>
  <si>
    <t>Höchstbeitrag KV</t>
  </si>
  <si>
    <t>Höchstbeitrag SPV</t>
  </si>
  <si>
    <t>Beitrag+GZ</t>
  </si>
  <si>
    <t>T43</t>
  </si>
  <si>
    <t>BEN</t>
  </si>
  <si>
    <t>KV für Null</t>
  </si>
  <si>
    <t>Wunschleistung</t>
  </si>
  <si>
    <t>Klasse</t>
  </si>
  <si>
    <t>Mindestbeitrag KV</t>
  </si>
  <si>
    <t>Mindestbeitrag SPV</t>
  </si>
  <si>
    <t>BEN Beitragsdifferenz</t>
  </si>
  <si>
    <t xml:space="preserve"> </t>
  </si>
  <si>
    <t>mit BEN</t>
  </si>
  <si>
    <t>Basis-Rente</t>
  </si>
  <si>
    <t>KV-Beitrag aktuell</t>
  </si>
  <si>
    <t>mit 1,5% Inflation</t>
  </si>
  <si>
    <t>Beitrag klassisch</t>
  </si>
  <si>
    <t>Rente</t>
  </si>
  <si>
    <t>Beitrag fondsgebunden</t>
  </si>
  <si>
    <t>Rente fondsgebunden</t>
  </si>
  <si>
    <t>Beitragsentlastung der KV</t>
  </si>
  <si>
    <t>Einstieg in die Alterversorgung</t>
  </si>
  <si>
    <t>heute nicht</t>
  </si>
  <si>
    <t>Pflegezusatz</t>
  </si>
  <si>
    <t>PGA/PGS</t>
  </si>
  <si>
    <t>PGE</t>
  </si>
  <si>
    <t>PGA</t>
  </si>
  <si>
    <t>PGS</t>
  </si>
  <si>
    <t>KVS1 + EKV2</t>
  </si>
  <si>
    <t>KVS3 + EKV2</t>
  </si>
  <si>
    <t>Beitragssatz allgemein</t>
  </si>
  <si>
    <t>verbleibender Betrag</t>
  </si>
  <si>
    <t>Krankenversicherung</t>
  </si>
  <si>
    <t>Gesamt</t>
  </si>
  <si>
    <t>monatliche Beiträge</t>
  </si>
  <si>
    <t>Pflegezusatz I</t>
  </si>
  <si>
    <t>Pflegezusatz II</t>
  </si>
  <si>
    <t>i</t>
  </si>
  <si>
    <t>Infos zur Berechnung</t>
  </si>
  <si>
    <t xml:space="preserve">Nachdem Sie nun die Beitragsbelastung für Ihren Kunden mit Tarif BEN im Alter minimiert haben, empfehlen wir den Einstieg in die Altersvorsorge über die noch verbleibende Differenz zum GKV-Beitrag Ihres Kunden.                                                                                                                     </t>
  </si>
  <si>
    <t>Einmal sparen, zweifach profitieren!</t>
  </si>
  <si>
    <t>1) Krankenversicherungsbeitrag im Alter reduzieren mit BEN</t>
  </si>
  <si>
    <t>Laufzeit berechnen</t>
  </si>
  <si>
    <t>monatliche Rente</t>
  </si>
  <si>
    <t>Kapital</t>
  </si>
  <si>
    <t>Tommys Werte</t>
  </si>
  <si>
    <t>Laufzeit</t>
  </si>
  <si>
    <t>Rente für C7</t>
  </si>
  <si>
    <t>Kapital für C7</t>
  </si>
  <si>
    <t>2) Einstieg in die Altersversorgung mit der Basis-Rente</t>
  </si>
  <si>
    <t>Und jetzt noch die Privatrente!</t>
  </si>
  <si>
    <t xml:space="preserve">   Steuersatz</t>
  </si>
  <si>
    <t>Monatsbeitrag aus Steuersatz durchschnittlich</t>
  </si>
  <si>
    <t>Monatsbeitrag aus Steuersatz maximal</t>
  </si>
  <si>
    <t>Rente für G7</t>
  </si>
  <si>
    <t>Kapital für G7</t>
  </si>
  <si>
    <t xml:space="preserve">       Steuersatz</t>
  </si>
  <si>
    <t>KV Beitrag aktuell</t>
  </si>
  <si>
    <r>
      <t xml:space="preserve">KV mit </t>
    </r>
    <r>
      <rPr>
        <sz val="9"/>
        <color theme="1"/>
        <rFont val="Calibri"/>
        <family val="2"/>
        <scheme val="minor"/>
      </rPr>
      <t>1,5% Inflation</t>
    </r>
  </si>
  <si>
    <t xml:space="preserve">      bei maximalem </t>
  </si>
  <si>
    <t>Beitrag jährlich</t>
  </si>
  <si>
    <t>Beitrag monatlich</t>
  </si>
  <si>
    <t>*Infos zur Steuerberechnung</t>
  </si>
  <si>
    <t xml:space="preserve">   durchschnittlicher </t>
  </si>
  <si>
    <t>Ihr Kunde setzt jetzt die berechnete Steuersparnis für eine private Rente ein, bitte lesen Sie die "Infos zur Berechnung":</t>
  </si>
  <si>
    <t>Niedersachsen</t>
  </si>
  <si>
    <t>Hessen</t>
  </si>
  <si>
    <t xml:space="preserve">AOK Baden-Württemberg </t>
  </si>
  <si>
    <t>Baden-Württemberg</t>
  </si>
  <si>
    <t>Bayern</t>
  </si>
  <si>
    <t xml:space="preserve">AOK Bremen / Bremerhaven </t>
  </si>
  <si>
    <t>Bremen</t>
  </si>
  <si>
    <t>Berlin, Brandenburg, Mecklenburg-Vorpommern</t>
  </si>
  <si>
    <t>Nordrhein-Westfalen, Schleswig-Holstein</t>
  </si>
  <si>
    <t>Sachsen, Thüringen</t>
  </si>
  <si>
    <t>Hamburg, Nordrhein-Westfalen</t>
  </si>
  <si>
    <t>Rheinland-Pfalz, Saarland</t>
  </si>
  <si>
    <t>Sachsen-Anhalt</t>
  </si>
  <si>
    <t xml:space="preserve">Audi BKK </t>
  </si>
  <si>
    <t>bundesweit</t>
  </si>
  <si>
    <t xml:space="preserve">BAHN-BKK </t>
  </si>
  <si>
    <t xml:space="preserve">BARMER </t>
  </si>
  <si>
    <t xml:space="preserve">BERGISCHE KRANKENKASSE </t>
  </si>
  <si>
    <t>Hamburg, Hessen, Nordrhein-Westfalen</t>
  </si>
  <si>
    <t xml:space="preserve">Bertelsmann BKK </t>
  </si>
  <si>
    <t>Baden-Württemberg, Bayern, Berlin, Hamburg, Hessen, Mecklenburg-Vorpommern, Niedersachsen, Nordrhein-Westfalen, Sachsen, Thüringen</t>
  </si>
  <si>
    <t>Rheinland-Pfalz</t>
  </si>
  <si>
    <t>betriebs­be­zogen (nur für Mitar­beitende wählbar)</t>
  </si>
  <si>
    <t>Baden-Württemberg, Bayern, Niedersachsen, Rheinland-Pfalz</t>
  </si>
  <si>
    <t xml:space="preserve">BIG direkt gesund </t>
  </si>
  <si>
    <t xml:space="preserve">BKK Akzo Nobel Bayern </t>
  </si>
  <si>
    <t xml:space="preserve">BKK B. Braun Aesculap </t>
  </si>
  <si>
    <t xml:space="preserve">BKK Deutsche Bank AG </t>
  </si>
  <si>
    <t xml:space="preserve">BKK Diakonie </t>
  </si>
  <si>
    <t>Baden-Württemberg, Bayern, Berlin, Brandenburg, Bremen, Hamburg, Hessen, Mecklenburg-Vorpommern, Niedersachsen, Nordrhein-Westfalen, Rheinland-Pfalz, Sachsen, Sachsen-Anhalt, Schleswig-Holstein</t>
  </si>
  <si>
    <t xml:space="preserve">BKK EUREGIO </t>
  </si>
  <si>
    <t xml:space="preserve">BKK evm </t>
  </si>
  <si>
    <t xml:space="preserve">BKK exklusiv </t>
  </si>
  <si>
    <t>Bremen, Mecklenburg-Vorpommern, Niedersachsen, Nordrhein-Westfalen, Sachsen-Anhalt, Schleswig-Holstein</t>
  </si>
  <si>
    <t xml:space="preserve">BKK Faber-Castell &amp; Partner </t>
  </si>
  <si>
    <t xml:space="preserve">BKK firmus </t>
  </si>
  <si>
    <t xml:space="preserve">BKK Freudenberg </t>
  </si>
  <si>
    <t>Baden-Württemberg, Bayern, Berlin, Hessen, Niedersachsen, Nordrhein-Westfalen, Rheinland-Pfalz, Sachsen</t>
  </si>
  <si>
    <t xml:space="preserve">BKK Groz-Beckert </t>
  </si>
  <si>
    <t xml:space="preserve">BKK Herkules </t>
  </si>
  <si>
    <t>Bayern, Hessen, Niedersachsen</t>
  </si>
  <si>
    <t xml:space="preserve">BKK Linde </t>
  </si>
  <si>
    <t xml:space="preserve">BKK MAHLE </t>
  </si>
  <si>
    <t xml:space="preserve">bkk melitta hmr </t>
  </si>
  <si>
    <t>Baden-Württemberg, Bayern, Brandenburg, Bremen, Hessen, Niedersachsen, Nordrhein-Westfalen, Sachsen, Sachsen-Anhalt, Schleswig-Holstein</t>
  </si>
  <si>
    <t xml:space="preserve">BKK mkk - meine krankenkasse </t>
  </si>
  <si>
    <t xml:space="preserve">BKK MTU </t>
  </si>
  <si>
    <t xml:space="preserve">BKK Pfalz </t>
  </si>
  <si>
    <t xml:space="preserve">BKK ProVita </t>
  </si>
  <si>
    <t xml:space="preserve">BKK Public </t>
  </si>
  <si>
    <t>Hamburg, Niedersachsen, Nordrhein-Westfalen</t>
  </si>
  <si>
    <t xml:space="preserve">BKK Rieker.RICOSTA.Weisser </t>
  </si>
  <si>
    <t xml:space="preserve">BKK Salzgitter </t>
  </si>
  <si>
    <t xml:space="preserve">BKK Scheufelen </t>
  </si>
  <si>
    <t xml:space="preserve">BKK Schwarzwald-Baar-Heuberg </t>
  </si>
  <si>
    <t xml:space="preserve">BKK VDN </t>
  </si>
  <si>
    <t>Hamburg, Nordrhein-Westfalen, Sachsen</t>
  </si>
  <si>
    <t xml:space="preserve">BKK VerbundPlus </t>
  </si>
  <si>
    <t xml:space="preserve">BKK WERRA-MEISSNER </t>
  </si>
  <si>
    <t>Bayern, Hessen</t>
  </si>
  <si>
    <t>Baden-Württemberg, Bayern, Berlin, Brandenburg, Bremen, Hamburg, Hessen, Niedersachsen, Nordrhein-Westfalen, Rheinland-Pfalz, Saarland, Sachsen</t>
  </si>
  <si>
    <t xml:space="preserve">BKK ZF &amp; Partner </t>
  </si>
  <si>
    <t>Baden-Württemberg, Bayern, Berlin, Brandenburg, Bremen, Hamburg, Hessen, Niedersachsen, Nordrhein-Westfalen, Rheinland-Pfalz, Saarland, Sachsen, Sachsen-Anhalt, Thüringen</t>
  </si>
  <si>
    <t>Nordrhein-Westfalen</t>
  </si>
  <si>
    <t xml:space="preserve">BKK24 </t>
  </si>
  <si>
    <t xml:space="preserve">BKK-Würth </t>
  </si>
  <si>
    <t xml:space="preserve">BMW BKK </t>
  </si>
  <si>
    <t xml:space="preserve">Bosch BKK </t>
  </si>
  <si>
    <t>Baden-Württemberg, Bayern, Berlin, Brandenburg, Hamburg, Hessen, Mecklenburg-Vorpommern, Niedersachsen, Nordrhein-Westfalen, Rheinland-Pfalz, Saarland, Sachsen, Sachsen-Anhalt, Thüringen</t>
  </si>
  <si>
    <t xml:space="preserve">DAK-Gesundheit </t>
  </si>
  <si>
    <t xml:space="preserve">Debeka BKK </t>
  </si>
  <si>
    <t xml:space="preserve">Handelskrankenkasse (hkk) </t>
  </si>
  <si>
    <t xml:space="preserve">Heimat Krankenkasse </t>
  </si>
  <si>
    <t xml:space="preserve">IKK - Die Innovationskasse </t>
  </si>
  <si>
    <t xml:space="preserve">IKK classic </t>
  </si>
  <si>
    <t xml:space="preserve">IKK gesund plus </t>
  </si>
  <si>
    <t xml:space="preserve">IKK Südwest </t>
  </si>
  <si>
    <t>Hessen, Rheinland-Pfalz, Saarland</t>
  </si>
  <si>
    <t>Berlin, Brandenburg</t>
  </si>
  <si>
    <t xml:space="preserve">KARL MAYER BKK </t>
  </si>
  <si>
    <t xml:space="preserve">KNAPPSCHAFT </t>
  </si>
  <si>
    <t xml:space="preserve">Koenig &amp; Bauer BKK </t>
  </si>
  <si>
    <t xml:space="preserve">Krones Betriebskrankenkasse </t>
  </si>
  <si>
    <t xml:space="preserve">Mercedes-Benz BKK </t>
  </si>
  <si>
    <t xml:space="preserve">Merck BKK </t>
  </si>
  <si>
    <t>Baden-Württemberg, Bayern, Berlin, Bremen, Hamburg, Hessen, Mecklenburg-Vorpommern, Niedersachsen, Nordrhein-Westfalen, Rheinland-Pfalz, Saarland, Sachsen, Schleswig-Holstein, Thüringen</t>
  </si>
  <si>
    <t xml:space="preserve">Novitas BKK </t>
  </si>
  <si>
    <t xml:space="preserve">Pronova BKK </t>
  </si>
  <si>
    <t xml:space="preserve">Salus BKK </t>
  </si>
  <si>
    <t xml:space="preserve">SECURVITA BKK </t>
  </si>
  <si>
    <t>Baden-Württemberg, Bayern, Berlin, Brandenburg, Hamburg, Hessen, Mecklenburg-Vorpommern, Niedersachsen, Nordrhein-Westfalen, Rheinland-Pfalz, Sachsen, Sachsen-Anhalt, Schleswig-Holstein, Thüringen</t>
  </si>
  <si>
    <t xml:space="preserve">SKD BKK </t>
  </si>
  <si>
    <t>Baden-Württemberg, Bayern, Berlin, Bremen, Hamburg, Hessen, Niedersachsen, Nordrhein-Westfalen, Saarland, Sachsen, Schleswig-Holstein</t>
  </si>
  <si>
    <t xml:space="preserve">Sozialversicherung für Landwirtschaft, Forsten und Gartenbau (SVLFG) </t>
  </si>
  <si>
    <t>wird nicht erhoben</t>
  </si>
  <si>
    <t>branchenbezogen</t>
  </si>
  <si>
    <t xml:space="preserve">Südzucker BKK </t>
  </si>
  <si>
    <t xml:space="preserve">Techniker Krankenkasse </t>
  </si>
  <si>
    <t xml:space="preserve">TUI BKK </t>
  </si>
  <si>
    <t xml:space="preserve">VIACTIV Krankenkasse </t>
  </si>
  <si>
    <t xml:space="preserve">vivida bkk </t>
  </si>
  <si>
    <t xml:space="preserve">WMF Betriebskrankenkasse </t>
  </si>
  <si>
    <t xml:space="preserve">AOK - Niedersachsen </t>
  </si>
  <si>
    <t xml:space="preserve">AOK - Hessen </t>
  </si>
  <si>
    <t>AOK Bayern</t>
  </si>
  <si>
    <t>AOK Nordost</t>
  </si>
  <si>
    <t xml:space="preserve">AOK NordWest </t>
  </si>
  <si>
    <t>AOK PLUS</t>
  </si>
  <si>
    <t>AOK Rheinland/Hamburg</t>
  </si>
  <si>
    <t>AOK Rheinland-Pfalz/Saarland</t>
  </si>
  <si>
    <t>AOK Sachsen-Anhalt</t>
  </si>
  <si>
    <t>Continentale BKK</t>
  </si>
  <si>
    <t>energie-BKK</t>
  </si>
  <si>
    <t>EY BKK</t>
  </si>
  <si>
    <t>mhplus BKK</t>
  </si>
  <si>
    <t>R+V BKK</t>
  </si>
  <si>
    <t xml:space="preserve">BKK G.M. Pfaff AG </t>
  </si>
  <si>
    <t xml:space="preserve">BKK EWE </t>
  </si>
  <si>
    <t xml:space="preserve">BKK Miele </t>
  </si>
  <si>
    <t xml:space="preserve">BKK Mobil </t>
  </si>
  <si>
    <t xml:space="preserve">BKK PricewaterhouseCoopers </t>
  </si>
  <si>
    <t xml:space="preserve">BKK Technoform </t>
  </si>
  <si>
    <t xml:space="preserve">IKK BRANDENBURG BERLIN </t>
  </si>
  <si>
    <t xml:space="preserve">BKK WIRTSCHAFT FINANZEN </t>
  </si>
  <si>
    <t>Siemens-BKK</t>
  </si>
  <si>
    <t xml:space="preserve">HEK Hanseatische Krankenkasse </t>
  </si>
  <si>
    <t>Wichtige Information</t>
  </si>
  <si>
    <t>Die Daten, die für die Berechnungen genutzt werden, werden regelmäßig aktualisiert. Das gilt beispielsweise für die Krankenversicherungsbeiträge der HanseMerkur, die Höhe der GKV-Zusatzbeiträge aber auch für die Steuerberechnung. Laden Sie sich daher, mindestens einmal im Jahr, die jeweils aktuellste Version herunter.  Wenn Sie Fragen oder Hinweise haben, wenden Sie sich einfach an einen Mitarbeiter in VAV-PM.</t>
  </si>
  <si>
    <t>Kassenname</t>
  </si>
  <si>
    <t>Zusatzbeitrag</t>
  </si>
  <si>
    <t>Tätigkeitsgebiet</t>
  </si>
  <si>
    <t>Anzahl der Kinder</t>
  </si>
  <si>
    <t>Beitragssatz Pflegezusatz</t>
  </si>
  <si>
    <t>keine Kinder</t>
  </si>
  <si>
    <t>1 Kind</t>
  </si>
  <si>
    <t>2 Kinder</t>
  </si>
  <si>
    <t>3 Kinder</t>
  </si>
  <si>
    <t>4 Kinder</t>
  </si>
  <si>
    <t>5 und mehr Kinder</t>
  </si>
  <si>
    <t>Angaben zur aktuellen GKV</t>
  </si>
  <si>
    <t>persönliche Angaben</t>
  </si>
  <si>
    <t>Kasse</t>
  </si>
  <si>
    <t>Max Mustermann</t>
  </si>
  <si>
    <t>maximale jährliche SB</t>
  </si>
  <si>
    <t>Berufsstatus</t>
  </si>
  <si>
    <t>BKK Gildemeister Seidensticker</t>
  </si>
  <si>
    <t>BKK Voralb Heller Index Leuze</t>
  </si>
  <si>
    <t xml:space="preserve">Kaufmännische Krankenkasse KKH </t>
  </si>
  <si>
    <t>selbständig</t>
  </si>
  <si>
    <t>angestellt</t>
  </si>
  <si>
    <t>AZP</t>
  </si>
  <si>
    <t>EGO2</t>
  </si>
  <si>
    <t>PS3</t>
  </si>
  <si>
    <t>KVP</t>
  </si>
  <si>
    <t>AZP+EGO2+PS3</t>
  </si>
  <si>
    <t>KVP + EKV2</t>
  </si>
  <si>
    <t>AZP + EGO2 + PS3</t>
  </si>
  <si>
    <t>BBG</t>
  </si>
  <si>
    <t>AG-Zuschuss KV</t>
  </si>
  <si>
    <t>AG-Zuschuss PV</t>
  </si>
  <si>
    <t>Gesamtbeitrag</t>
  </si>
  <si>
    <t>ja</t>
  </si>
  <si>
    <t>nein</t>
  </si>
  <si>
    <t>inkl. BRE</t>
  </si>
  <si>
    <t>AZP/2+EGO2+PS3</t>
  </si>
  <si>
    <t>KVP-83,333</t>
  </si>
  <si>
    <t>Beiträge inkl Pauschalleistung</t>
  </si>
  <si>
    <t>inkl. garant. BRE</t>
  </si>
  <si>
    <t>PKV</t>
  </si>
  <si>
    <t>0-14 Jahre</t>
  </si>
  <si>
    <t>15-19 Jahre</t>
  </si>
  <si>
    <t xml:space="preserve">soviele Kinder habe, bzw. plane ich </t>
  </si>
  <si>
    <t>Kinderbeitrag KVT500+PSV</t>
  </si>
  <si>
    <t>Jugendbeitrag KVT500+PSV</t>
  </si>
  <si>
    <t>Beitragsdifferenz</t>
  </si>
  <si>
    <t>Kinderberechnung</t>
  </si>
  <si>
    <t>Arbeitgeberzuschuss</t>
  </si>
  <si>
    <t>errechnete Beiträge s. o.</t>
  </si>
  <si>
    <t>Beitrag für Kind/er</t>
  </si>
  <si>
    <t>Alter des/r Kindes/r</t>
  </si>
  <si>
    <t>KT GKV maximal berechnen</t>
  </si>
  <si>
    <t>Höhe Verdienstausfall</t>
  </si>
  <si>
    <t>Selbstbehalt ab Alter 65 reduzieren</t>
  </si>
  <si>
    <t>SBE pro 100 EUR</t>
  </si>
  <si>
    <t>SBE 500</t>
  </si>
  <si>
    <t>SBE 1000</t>
  </si>
  <si>
    <t>Beitragsentlastung</t>
  </si>
  <si>
    <t>Leistung Beitragsentlastung</t>
  </si>
  <si>
    <t>Ihr möglicher Beitrag ab Alter 65</t>
  </si>
  <si>
    <t>Beitrag mit 65</t>
  </si>
  <si>
    <t>Ihr Beitrag</t>
  </si>
  <si>
    <t>Für KV:</t>
  </si>
  <si>
    <t>Die folgenden Daten fassen die oben gemachten Berechnungen zusammen</t>
  </si>
  <si>
    <t>Ihr Gesamtbeitrag</t>
  </si>
  <si>
    <t>Gesamtbeitrag Krankenversicherung</t>
  </si>
  <si>
    <t>Beitrag BEN</t>
  </si>
  <si>
    <t>Prozentsatz für Steuerberechnung</t>
  </si>
  <si>
    <t>Tarife steuerlich berücksichtigt</t>
  </si>
  <si>
    <t>&lt;SpalteA&gt;</t>
  </si>
  <si>
    <t>SBE</t>
  </si>
  <si>
    <t>Summe</t>
  </si>
  <si>
    <t>Prozentsatz BEN</t>
  </si>
  <si>
    <t>Kennen Sie die Aussage: Eine private Krankenversicherung wird im Alter unbezahlbar? Nicht bei der HanseMerkur! Hier sehen Sie die mögliche Beitragshöhe, wenn Sie sich entschließen, den BEN abzuschließen. Bitte berücksichtigen Sie, dass es sich bei der Berechnung um eine Modellrechnung auf Basis der aktuellen Rechnungsgrundlagen handelt. Zukünftige Beitragsänderungen, eventuelle Rückstellungen und auch gesetzliche Änderungen können nicht berücksichtigt werden.</t>
  </si>
  <si>
    <t>Ihr Beitrag für die Basis-Rente</t>
  </si>
  <si>
    <t>KV inkl. BEN</t>
  </si>
  <si>
    <t>Beträge Steuer berücksichtigt angestellt</t>
  </si>
  <si>
    <t>Beträge Steuer berücksichtigt selbständig</t>
  </si>
  <si>
    <t>Hilfszelle</t>
  </si>
  <si>
    <t>Kennen Sie die Aussage: Eine PKV rechnet sich nicht, wenn man Kinder hat oder plant? Grund ist die beitragsfreie Mitversicherung der Kinder in der GKV, die es dort unter bestimmten Voraussetzungen bis zum 25. Lebensjahr gibt. Wie das bei der HanseMerkur ist, können Sie hier ausprobieren. Grundlage für die Berechnung ist eine Vollversicherung ohne Selbstbeteiligung inklusive Wahlleistungen im Krankenhaus (Tarife KVT500, PSV und PVN)!</t>
  </si>
  <si>
    <t>Beiträge im Alter - Krankenversicherung für 0 EUR</t>
  </si>
  <si>
    <t>PKV mit Kindern - ein kleiner Exkurs</t>
  </si>
  <si>
    <r>
      <t xml:space="preserve">Sollte die Beitragsdifferenz </t>
    </r>
    <r>
      <rPr>
        <sz val="10"/>
        <color rgb="FFFF0000"/>
        <rFont val="Arial"/>
        <family val="2"/>
      </rPr>
      <t>rot</t>
    </r>
    <r>
      <rPr>
        <sz val="10"/>
        <color theme="1"/>
        <rFont val="Arial"/>
        <family val="2"/>
      </rPr>
      <t xml:space="preserve"> angezeigt werden, ist der GKV-Beitrag niedriger, aber auch in den Fällen ist wegen des deutlich höheren Leistungsniveaus die HanseMerkur für Sie die bessere Wahl. Und spätestens, wenn die Kinder aus dem Haus sind, fällt der Beitrag für die Kinder weg!</t>
    </r>
  </si>
  <si>
    <t>Beitragsvergleich HanseMerkur vs. GKV</t>
  </si>
  <si>
    <t>bei Auswahl "ja" wird die garantierte BRE der Tarife AZP und KVP bei den Berechnungen berücksichtigt</t>
  </si>
  <si>
    <r>
      <rPr>
        <b/>
        <sz val="10"/>
        <color theme="1"/>
        <rFont val="Arial"/>
        <family val="2"/>
      </rPr>
      <t>Ihr Beitrag für Beides</t>
    </r>
    <r>
      <rPr>
        <sz val="10"/>
        <color theme="1"/>
        <rFont val="Arial"/>
        <family val="2"/>
      </rPr>
      <t xml:space="preserve"> </t>
    </r>
    <r>
      <rPr>
        <sz val="8"/>
        <color theme="1"/>
        <rFont val="Arial"/>
        <family val="2"/>
      </rPr>
      <t>bei Angestellten abzüglich AG-Zuschuss</t>
    </r>
  </si>
  <si>
    <t>individuelle Wünsche</t>
  </si>
  <si>
    <t>Leistung</t>
  </si>
  <si>
    <t>Wunschbeitrag</t>
  </si>
  <si>
    <t>Beitrag mit 65 und 1,5% Inflation</t>
  </si>
  <si>
    <r>
      <rPr>
        <b/>
        <sz val="10"/>
        <color theme="1"/>
        <rFont val="Arial"/>
        <family val="2"/>
      </rPr>
      <t>Beitrag</t>
    </r>
    <r>
      <rPr>
        <sz val="10"/>
        <color theme="1"/>
        <rFont val="Arial"/>
        <family val="2"/>
      </rPr>
      <t>, bei dem Inflation berücksichtigt ist</t>
    </r>
  </si>
  <si>
    <r>
      <t>Diese Hochrechnung  zeigt, wie sich die aktuelle Beitragshöhe abhängig von der gewählten Inflationsrate bis zum 65. Lebensjahr entwickeln kann.</t>
    </r>
    <r>
      <rPr>
        <b/>
        <sz val="10"/>
        <color theme="1"/>
        <rFont val="Arial"/>
        <family val="2"/>
      </rPr>
      <t xml:space="preserve"> Vorsorge ist wichtig!</t>
    </r>
  </si>
  <si>
    <t>gewählte Rate</t>
  </si>
  <si>
    <t>Die Zusammenfassung Ihrer neuen Vorsorge</t>
  </si>
  <si>
    <t>Kurtagegeld</t>
  </si>
  <si>
    <t>KUT/10</t>
  </si>
  <si>
    <t>KUT</t>
  </si>
  <si>
    <t>Steuersätze abhängig vom eingegebenen Einkommen</t>
  </si>
  <si>
    <t>aktuell</t>
  </si>
  <si>
    <t>Tarife steuerlich relevant</t>
  </si>
  <si>
    <t>Beiträge steuerlich gewichtet</t>
  </si>
  <si>
    <t>Summe steuerlich relevant</t>
  </si>
  <si>
    <t>alle ambulant, Zahn, stationär</t>
  </si>
  <si>
    <t>steuerlich absetzbar angestellt</t>
  </si>
  <si>
    <t>steuerlich absetzbar selbständig</t>
  </si>
  <si>
    <t>steuerlich absetzbar selbständig BRE</t>
  </si>
  <si>
    <t>steuerlich absetzbar angestellt BRE</t>
  </si>
  <si>
    <t xml:space="preserve">steuerlich absetzbar p. a. </t>
  </si>
  <si>
    <t>maximaler Steuersatz</t>
  </si>
  <si>
    <t xml:space="preserve">    mittlerer Steuersatz</t>
  </si>
  <si>
    <t xml:space="preserve">     jährliche steuerliche Berücksichtigung*</t>
  </si>
  <si>
    <t>Teilen Sie dazu einfach die oben gerechnete Beitragsdifferenz auf den BEN und die Basis-Rente auf. Und lassen Sie Ihren Kunden zweifach profitieren! Bitte lesen Sie die "Infos zur Berechnung".</t>
  </si>
  <si>
    <t>Der erste Teil der Beitragsdifferenz fließt in den BEN. Unsere Vorbelegung: "KV Beitrag aktuell".                                                                      Dies ist die Höhe der Absicherung auf Grundlage des errechneten Beitrages.
Weitere Optionen oder auch Wunschleistungen sind möglich. Infos dazu finden Sie hinter dem jeweiligen Infobutton.</t>
  </si>
  <si>
    <t xml:space="preserve">BKK DürkoppAdler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</si>
</sst>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_ ;\-#,##0.00\ "/>
    <numFmt numFmtId="166" formatCode="#,##0.00;[Red]#,##0.00"/>
    <numFmt numFmtId="167" formatCode="0.0%"/>
  </numFmts>
  <fonts count="24" x14ac:knownFonts="1">
    <font>
      <sz val="11"/>
      <color theme="1"/>
      <name val="Calibri"/>
      <family val="2"/>
      <scheme val="minor"/>
    </font>
    <font>
      <b/>
      <sz val="11"/>
      <color theme="1"/>
      <name val="Calibri"/>
      <family val="2"/>
      <scheme val="minor"/>
    </font>
    <font>
      <sz val="10"/>
      <name val="Arial"/>
      <family val="2"/>
    </font>
    <font>
      <sz val="11"/>
      <name val="Arial"/>
      <family val="2"/>
    </font>
    <font>
      <sz val="8"/>
      <name val="Calibri"/>
      <family val="2"/>
      <scheme val="minor"/>
    </font>
    <font>
      <sz val="9"/>
      <color theme="1"/>
      <name val="Calibri"/>
      <family val="2"/>
      <scheme val="minor"/>
    </font>
    <font>
      <sz val="10"/>
      <color theme="1"/>
      <name val="Arial"/>
      <family val="2"/>
    </font>
    <font>
      <sz val="9"/>
      <color indexed="81"/>
      <name val="Segoe UI"/>
      <family val="2"/>
    </font>
    <font>
      <b/>
      <sz val="10"/>
      <color theme="1"/>
      <name val="Arial"/>
      <family val="2"/>
    </font>
    <font>
      <sz val="11"/>
      <color theme="2" tint="-0.249977111117893"/>
      <name val="Calibri"/>
      <family val="2"/>
      <scheme val="minor"/>
    </font>
    <font>
      <sz val="10"/>
      <color theme="1"/>
      <name val="Calibri"/>
      <family val="2"/>
      <scheme val="minor"/>
    </font>
    <font>
      <b/>
      <sz val="10"/>
      <color theme="0"/>
      <name val="Arial"/>
      <family val="2"/>
    </font>
    <font>
      <b/>
      <sz val="14"/>
      <color theme="1"/>
      <name val="Arial"/>
      <family val="2"/>
    </font>
    <font>
      <sz val="11"/>
      <color theme="1"/>
      <name val="Arial"/>
      <family val="2"/>
    </font>
    <font>
      <b/>
      <sz val="12"/>
      <color theme="1"/>
      <name val="Arial"/>
      <family val="2"/>
    </font>
    <font>
      <b/>
      <sz val="11"/>
      <color theme="0"/>
      <name val="Arial"/>
      <family val="2"/>
    </font>
    <font>
      <b/>
      <sz val="9"/>
      <color indexed="81"/>
      <name val="Segoe UI"/>
      <family val="2"/>
    </font>
    <font>
      <sz val="10"/>
      <color rgb="FFEDF6F2"/>
      <name val="Arial"/>
      <family val="2"/>
    </font>
    <font>
      <sz val="8"/>
      <color theme="1"/>
      <name val="Arial"/>
      <family val="2"/>
    </font>
    <font>
      <sz val="10"/>
      <color rgb="FFFF0000"/>
      <name val="Arial"/>
      <family val="2"/>
    </font>
    <font>
      <b/>
      <sz val="18"/>
      <color theme="1"/>
      <name val="Arial"/>
      <family val="2"/>
    </font>
    <font>
      <b/>
      <sz val="11"/>
      <color rgb="FF00B050"/>
      <name val="Calibri"/>
      <family val="2"/>
      <scheme val="minor"/>
    </font>
    <font>
      <b/>
      <sz val="11"/>
      <color theme="0"/>
      <name val="Calibri"/>
      <family val="2"/>
      <scheme val="minor"/>
    </font>
    <font>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06666"/>
        <bgColor indexed="64"/>
      </patternFill>
    </fill>
    <fill>
      <patternFill patternType="solid">
        <fgColor rgb="FFEDF6F2"/>
        <bgColor indexed="64"/>
      </patternFill>
    </fill>
    <fill>
      <patternFill patternType="solid">
        <fgColor rgb="FF005E52"/>
        <bgColor indexed="64"/>
      </patternFill>
    </fill>
    <fill>
      <patternFill patternType="solid">
        <fgColor rgb="FFDEF6E0"/>
        <bgColor indexed="64"/>
      </patternFill>
    </fill>
    <fill>
      <patternFill patternType="solid">
        <fgColor rgb="FFFFFF00"/>
        <bgColor indexed="64"/>
      </patternFill>
    </fill>
    <fill>
      <patternFill patternType="solid">
        <fgColor rgb="FFFBF6F1"/>
        <bgColor indexed="64"/>
      </patternFill>
    </fill>
    <fill>
      <patternFill patternType="solid">
        <fgColor rgb="FFECECED"/>
        <bgColor indexed="64"/>
      </patternFill>
    </fill>
    <fill>
      <patternFill patternType="solid">
        <fgColor rgb="FFFFF5D5"/>
        <bgColor indexed="64"/>
      </patternFill>
    </fill>
  </fills>
  <borders count="9">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160">
    <xf numFmtId="0" fontId="0" fillId="0" borderId="0" xfId="0"/>
    <xf numFmtId="0" fontId="0" fillId="0" borderId="0" xfId="0"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1" fillId="0" borderId="0" xfId="0" applyFont="1" applyAlignment="1">
      <alignment horizontal="center"/>
    </xf>
    <xf numFmtId="0" fontId="1" fillId="0" borderId="0" xfId="0" applyFont="1"/>
    <xf numFmtId="4" fontId="2" fillId="2" borderId="0" xfId="0" applyNumberFormat="1" applyFont="1" applyFill="1" applyAlignment="1">
      <alignment horizontal="left"/>
    </xf>
    <xf numFmtId="0" fontId="5" fillId="0" borderId="0" xfId="0" applyFont="1" applyAlignment="1">
      <alignment horizontal="center"/>
    </xf>
    <xf numFmtId="2" fontId="0" fillId="0" borderId="0" xfId="0" applyNumberFormat="1" applyAlignment="1">
      <alignment horizontal="center"/>
    </xf>
    <xf numFmtId="0" fontId="0" fillId="0" borderId="0" xfId="0" applyAlignment="1">
      <alignment horizontal="center" wrapText="1"/>
    </xf>
    <xf numFmtId="0" fontId="9" fillId="0" borderId="0" xfId="0" applyFont="1" applyAlignment="1">
      <alignment horizontal="center" wrapText="1"/>
    </xf>
    <xf numFmtId="0" fontId="9" fillId="0" borderId="0" xfId="0" applyFont="1" applyAlignment="1">
      <alignment horizontal="center"/>
    </xf>
    <xf numFmtId="4" fontId="9" fillId="0" borderId="0" xfId="0" applyNumberFormat="1" applyFont="1" applyAlignment="1">
      <alignment horizontal="center"/>
    </xf>
    <xf numFmtId="4" fontId="0" fillId="0" borderId="0" xfId="0" applyNumberFormat="1" applyAlignment="1">
      <alignment horizontal="center"/>
    </xf>
    <xf numFmtId="0" fontId="0" fillId="0" borderId="0" xfId="0" applyAlignment="1">
      <alignment vertical="center"/>
    </xf>
    <xf numFmtId="0" fontId="6" fillId="2" borderId="0" xfId="0" applyFont="1" applyFill="1" applyAlignment="1">
      <alignment vertical="center"/>
    </xf>
    <xf numFmtId="0" fontId="6" fillId="0" borderId="0" xfId="0" applyFont="1" applyAlignment="1">
      <alignment vertical="center"/>
    </xf>
    <xf numFmtId="0" fontId="8" fillId="0" borderId="0" xfId="0" applyFont="1" applyAlignment="1">
      <alignment vertical="center"/>
    </xf>
    <xf numFmtId="0" fontId="1" fillId="0" borderId="0" xfId="0" applyFont="1" applyAlignment="1">
      <alignment vertical="center"/>
    </xf>
    <xf numFmtId="2" fontId="6" fillId="0" borderId="0" xfId="0" applyNumberFormat="1" applyFont="1" applyAlignment="1">
      <alignment vertical="center"/>
    </xf>
    <xf numFmtId="0" fontId="0" fillId="2" borderId="0" xfId="0" applyFill="1" applyAlignment="1">
      <alignment vertical="center"/>
    </xf>
    <xf numFmtId="3" fontId="0" fillId="0" borderId="0" xfId="0" applyNumberFormat="1"/>
    <xf numFmtId="0" fontId="10" fillId="0" borderId="0" xfId="0" applyFont="1" applyAlignment="1">
      <alignment vertical="center"/>
    </xf>
    <xf numFmtId="0" fontId="11" fillId="3" borderId="0" xfId="0" applyFont="1" applyFill="1" applyAlignment="1">
      <alignment horizontal="center" vertical="center"/>
    </xf>
    <xf numFmtId="0" fontId="6" fillId="4" borderId="0" xfId="0" applyFont="1" applyFill="1" applyAlignment="1">
      <alignment vertical="center"/>
    </xf>
    <xf numFmtId="10" fontId="6" fillId="4" borderId="0" xfId="0" applyNumberFormat="1" applyFont="1" applyFill="1" applyAlignment="1">
      <alignment vertical="center"/>
    </xf>
    <xf numFmtId="0" fontId="8" fillId="4" borderId="0" xfId="0" applyFont="1" applyFill="1" applyAlignment="1">
      <alignment vertical="center"/>
    </xf>
    <xf numFmtId="4" fontId="6" fillId="4" borderId="0" xfId="0" applyNumberFormat="1" applyFont="1" applyFill="1" applyAlignment="1">
      <alignment vertical="center"/>
    </xf>
    <xf numFmtId="0" fontId="8" fillId="4" borderId="0" xfId="0" applyFont="1" applyFill="1" applyAlignment="1">
      <alignment horizontal="right" vertical="center"/>
    </xf>
    <xf numFmtId="4" fontId="6" fillId="4" borderId="0" xfId="0" applyNumberFormat="1" applyFont="1" applyFill="1" applyAlignment="1">
      <alignment horizontal="right" vertical="center"/>
    </xf>
    <xf numFmtId="4" fontId="8" fillId="4" borderId="0" xfId="0" applyNumberFormat="1" applyFont="1" applyFill="1" applyAlignment="1">
      <alignment horizontal="right" vertical="center"/>
    </xf>
    <xf numFmtId="4" fontId="8" fillId="4" borderId="0" xfId="0" applyNumberFormat="1" applyFont="1" applyFill="1" applyAlignment="1">
      <alignment vertical="center"/>
    </xf>
    <xf numFmtId="0" fontId="14" fillId="4" borderId="0" xfId="0" applyFont="1" applyFill="1" applyAlignment="1">
      <alignment vertical="center"/>
    </xf>
    <xf numFmtId="3" fontId="6" fillId="4" borderId="0" xfId="0" applyNumberFormat="1" applyFont="1" applyFill="1" applyAlignment="1">
      <alignment vertical="center"/>
    </xf>
    <xf numFmtId="4" fontId="14" fillId="4" borderId="0" xfId="0" applyNumberFormat="1" applyFont="1" applyFill="1" applyAlignment="1">
      <alignment vertical="center"/>
    </xf>
    <xf numFmtId="0" fontId="13" fillId="0" borderId="0" xfId="0" applyFont="1" applyAlignment="1" applyProtection="1">
      <alignment vertical="center"/>
      <protection locked="0"/>
    </xf>
    <xf numFmtId="0" fontId="6" fillId="4" borderId="0" xfId="0" applyFont="1" applyFill="1" applyAlignment="1" applyProtection="1">
      <alignment vertical="center"/>
      <protection locked="0"/>
    </xf>
    <xf numFmtId="0" fontId="6" fillId="2" borderId="0" xfId="0" applyFont="1" applyFill="1" applyAlignment="1" applyProtection="1">
      <alignment vertical="center"/>
      <protection locked="0"/>
    </xf>
    <xf numFmtId="4" fontId="6" fillId="2" borderId="0" xfId="0" applyNumberFormat="1" applyFont="1" applyFill="1" applyAlignment="1" applyProtection="1">
      <alignment vertical="center"/>
      <protection locked="0"/>
    </xf>
    <xf numFmtId="0" fontId="6" fillId="0" borderId="0" xfId="0" applyFont="1" applyAlignment="1" applyProtection="1">
      <alignment vertical="center"/>
      <protection locked="0"/>
    </xf>
    <xf numFmtId="0" fontId="0" fillId="0" borderId="0" xfId="0" applyAlignment="1">
      <alignment vertical="center" wrapText="1"/>
    </xf>
    <xf numFmtId="0" fontId="0" fillId="0" borderId="0" xfId="0" applyAlignment="1">
      <alignment horizontal="center" vertical="center" wrapText="1"/>
    </xf>
    <xf numFmtId="10" fontId="0" fillId="0" borderId="0" xfId="0" applyNumberFormat="1" applyAlignment="1">
      <alignment horizontal="center" vertical="center" wrapText="1"/>
    </xf>
    <xf numFmtId="10" fontId="0" fillId="0" borderId="0" xfId="0" applyNumberFormat="1" applyAlignment="1">
      <alignment horizontal="center"/>
    </xf>
    <xf numFmtId="0" fontId="0" fillId="0" borderId="0" xfId="0" applyAlignment="1">
      <alignment shrinkToFit="1"/>
    </xf>
    <xf numFmtId="0" fontId="11" fillId="5" borderId="0" xfId="0" applyFont="1" applyFill="1" applyAlignment="1">
      <alignment horizontal="center" vertical="center"/>
    </xf>
    <xf numFmtId="0" fontId="1" fillId="0" borderId="0" xfId="0" applyFont="1" applyAlignment="1">
      <alignment shrinkToFit="1"/>
    </xf>
    <xf numFmtId="10" fontId="1" fillId="0" borderId="0" xfId="0" applyNumberFormat="1" applyFont="1" applyAlignment="1">
      <alignment horizontal="center"/>
    </xf>
    <xf numFmtId="10" fontId="0" fillId="0" borderId="0" xfId="0" applyNumberFormat="1"/>
    <xf numFmtId="0" fontId="0" fillId="0" borderId="0" xfId="0" applyAlignment="1">
      <alignment horizontal="right"/>
    </xf>
    <xf numFmtId="0" fontId="6" fillId="2" borderId="0" xfId="0" applyFont="1" applyFill="1" applyAlignment="1" applyProtection="1">
      <alignment horizontal="right" vertical="center"/>
      <protection locked="0"/>
    </xf>
    <xf numFmtId="3" fontId="0" fillId="0" borderId="0" xfId="0" applyNumberFormat="1" applyAlignment="1" applyProtection="1">
      <alignment vertical="center"/>
      <protection locked="0"/>
    </xf>
    <xf numFmtId="0" fontId="17" fillId="4" borderId="0" xfId="0" applyFont="1" applyFill="1" applyAlignment="1">
      <alignment vertical="center"/>
    </xf>
    <xf numFmtId="4" fontId="17" fillId="4" borderId="0" xfId="0" applyNumberFormat="1" applyFont="1" applyFill="1" applyAlignment="1">
      <alignment horizontal="right" vertical="center"/>
    </xf>
    <xf numFmtId="4" fontId="17" fillId="4" borderId="0" xfId="0" applyNumberFormat="1" applyFont="1" applyFill="1" applyAlignment="1">
      <alignment vertical="center"/>
    </xf>
    <xf numFmtId="0" fontId="1" fillId="6" borderId="0" xfId="0" applyFont="1" applyFill="1" applyAlignment="1">
      <alignment horizontal="center"/>
    </xf>
    <xf numFmtId="0" fontId="0" fillId="6" borderId="0" xfId="0" applyFill="1" applyAlignment="1">
      <alignment horizontal="center"/>
    </xf>
    <xf numFmtId="0" fontId="0" fillId="6" borderId="0" xfId="0" applyFill="1"/>
    <xf numFmtId="2" fontId="0" fillId="6" borderId="0" xfId="0" applyNumberFormat="1" applyFill="1"/>
    <xf numFmtId="165" fontId="6" fillId="4" borderId="0" xfId="0" applyNumberFormat="1" applyFont="1" applyFill="1" applyAlignment="1">
      <alignment horizontal="right" vertical="center"/>
    </xf>
    <xf numFmtId="0" fontId="1" fillId="6" borderId="0" xfId="0" applyFont="1" applyFill="1"/>
    <xf numFmtId="0" fontId="18" fillId="4" borderId="0" xfId="0" applyFont="1" applyFill="1" applyAlignment="1">
      <alignment horizontal="center" vertical="center" wrapText="1"/>
    </xf>
    <xf numFmtId="0" fontId="18" fillId="4" borderId="0" xfId="0" applyFont="1" applyFill="1" applyAlignment="1">
      <alignment horizontal="right" vertical="center" wrapText="1"/>
    </xf>
    <xf numFmtId="0" fontId="19" fillId="4" borderId="0" xfId="0" applyFont="1" applyFill="1" applyAlignment="1">
      <alignment vertical="center"/>
    </xf>
    <xf numFmtId="0" fontId="6" fillId="4" borderId="0" xfId="0" applyFont="1" applyFill="1" applyAlignment="1">
      <alignment horizontal="right" vertical="center"/>
    </xf>
    <xf numFmtId="166" fontId="8" fillId="4" borderId="0" xfId="0" applyNumberFormat="1" applyFont="1" applyFill="1" applyAlignment="1">
      <alignment vertical="center"/>
    </xf>
    <xf numFmtId="0" fontId="0" fillId="7" borderId="0" xfId="0" applyFill="1" applyAlignment="1">
      <alignment horizontal="center"/>
    </xf>
    <xf numFmtId="0" fontId="1" fillId="7" borderId="0" xfId="0" applyFont="1" applyFill="1" applyAlignment="1">
      <alignment horizontal="center"/>
    </xf>
    <xf numFmtId="4" fontId="1" fillId="7" borderId="0" xfId="0" applyNumberFormat="1" applyFont="1" applyFill="1" applyAlignment="1">
      <alignment horizontal="center"/>
    </xf>
    <xf numFmtId="2" fontId="1" fillId="7" borderId="0" xfId="0" applyNumberFormat="1" applyFont="1" applyFill="1" applyAlignment="1">
      <alignment horizontal="center"/>
    </xf>
    <xf numFmtId="0" fontId="1" fillId="2" borderId="0" xfId="0" applyFont="1" applyFill="1" applyAlignment="1">
      <alignment horizontal="center"/>
    </xf>
    <xf numFmtId="0" fontId="0" fillId="2" borderId="0" xfId="0" applyFill="1"/>
    <xf numFmtId="4" fontId="0" fillId="7" borderId="0" xfId="0" applyNumberFormat="1" applyFill="1" applyAlignment="1">
      <alignment horizontal="center"/>
    </xf>
    <xf numFmtId="4" fontId="0" fillId="7" borderId="0" xfId="0" applyNumberFormat="1" applyFill="1"/>
    <xf numFmtId="0" fontId="0" fillId="7" borderId="0" xfId="0" applyFill="1"/>
    <xf numFmtId="0" fontId="1" fillId="7" borderId="0" xfId="0" applyFont="1" applyFill="1"/>
    <xf numFmtId="0" fontId="1" fillId="0" borderId="0" xfId="0" applyFont="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2" fontId="8" fillId="4" borderId="0" xfId="0" applyNumberFormat="1" applyFont="1" applyFill="1" applyAlignment="1">
      <alignment horizontal="right" vertical="center"/>
    </xf>
    <xf numFmtId="1" fontId="0" fillId="0" borderId="0" xfId="0" applyNumberFormat="1" applyAlignment="1">
      <alignment horizontal="center"/>
    </xf>
    <xf numFmtId="0" fontId="6" fillId="4" borderId="0" xfId="0" applyFont="1" applyFill="1" applyAlignment="1">
      <alignment vertical="center" wrapText="1"/>
    </xf>
    <xf numFmtId="0" fontId="12" fillId="4" borderId="0" xfId="0" applyFont="1" applyFill="1" applyAlignment="1">
      <alignment vertical="center"/>
    </xf>
    <xf numFmtId="0" fontId="20" fillId="4" borderId="0" xfId="0" applyFont="1" applyFill="1" applyAlignment="1">
      <alignment vertical="center"/>
    </xf>
    <xf numFmtId="0" fontId="20" fillId="4" borderId="0" xfId="0" applyFont="1" applyFill="1" applyAlignment="1">
      <alignment horizontal="left" vertical="center"/>
    </xf>
    <xf numFmtId="0" fontId="0" fillId="0" borderId="0" xfId="0" applyAlignment="1" applyProtection="1">
      <alignment vertical="center"/>
      <protection locked="0"/>
    </xf>
    <xf numFmtId="0" fontId="6" fillId="8" borderId="0" xfId="0" applyFont="1" applyFill="1" applyAlignment="1">
      <alignment vertical="center"/>
    </xf>
    <xf numFmtId="0" fontId="8" fillId="8" borderId="0" xfId="0" applyFont="1" applyFill="1" applyAlignment="1">
      <alignment vertical="center"/>
    </xf>
    <xf numFmtId="0" fontId="8" fillId="8" borderId="0" xfId="0" applyFont="1" applyFill="1" applyAlignment="1">
      <alignment horizontal="right" vertical="center"/>
    </xf>
    <xf numFmtId="4" fontId="6" fillId="8" borderId="0" xfId="0" applyNumberFormat="1" applyFont="1" applyFill="1" applyAlignment="1">
      <alignment vertical="center"/>
    </xf>
    <xf numFmtId="3" fontId="6" fillId="8" borderId="0" xfId="0" applyNumberFormat="1" applyFont="1" applyFill="1" applyAlignment="1">
      <alignment vertical="center"/>
    </xf>
    <xf numFmtId="2" fontId="8" fillId="8" borderId="0" xfId="0" applyNumberFormat="1" applyFont="1" applyFill="1" applyAlignment="1">
      <alignment vertical="center"/>
    </xf>
    <xf numFmtId="0" fontId="14" fillId="8" borderId="0" xfId="0" applyFont="1" applyFill="1" applyAlignment="1">
      <alignment vertical="center"/>
    </xf>
    <xf numFmtId="4" fontId="8" fillId="8" borderId="0" xfId="0" applyNumberFormat="1" applyFont="1" applyFill="1" applyAlignment="1">
      <alignment vertical="center"/>
    </xf>
    <xf numFmtId="0" fontId="6" fillId="9" borderId="0" xfId="0" applyFont="1" applyFill="1" applyAlignment="1">
      <alignment vertical="center"/>
    </xf>
    <xf numFmtId="0" fontId="8" fillId="9" borderId="0" xfId="0" applyFont="1" applyFill="1" applyAlignment="1">
      <alignment vertical="center"/>
    </xf>
    <xf numFmtId="0" fontId="14" fillId="9" borderId="0" xfId="0" applyFont="1" applyFill="1" applyAlignment="1">
      <alignment vertical="center"/>
    </xf>
    <xf numFmtId="4" fontId="6" fillId="9" borderId="0" xfId="0" applyNumberFormat="1" applyFont="1" applyFill="1" applyAlignment="1">
      <alignment vertical="center"/>
    </xf>
    <xf numFmtId="4" fontId="8" fillId="9" borderId="0" xfId="0" applyNumberFormat="1" applyFont="1" applyFill="1" applyAlignment="1">
      <alignment vertical="center"/>
    </xf>
    <xf numFmtId="2" fontId="0" fillId="7" borderId="0" xfId="0" applyNumberFormat="1" applyFill="1"/>
    <xf numFmtId="3" fontId="6" fillId="4" borderId="0" xfId="0" applyNumberFormat="1" applyFont="1" applyFill="1" applyAlignment="1">
      <alignment horizontal="right" vertical="center"/>
    </xf>
    <xf numFmtId="0" fontId="6" fillId="10" borderId="0" xfId="0" applyFont="1" applyFill="1" applyAlignment="1">
      <alignment vertical="center"/>
    </xf>
    <xf numFmtId="4" fontId="6" fillId="10" borderId="0" xfId="0" applyNumberFormat="1" applyFont="1" applyFill="1" applyAlignment="1">
      <alignment vertical="center"/>
    </xf>
    <xf numFmtId="0" fontId="6" fillId="10" borderId="0" xfId="0" applyFont="1" applyFill="1" applyAlignment="1">
      <alignment horizontal="left" vertical="center"/>
    </xf>
    <xf numFmtId="3" fontId="6" fillId="10" borderId="0" xfId="0" applyNumberFormat="1" applyFont="1" applyFill="1" applyAlignment="1">
      <alignment vertical="center"/>
    </xf>
    <xf numFmtId="167" fontId="0" fillId="0" borderId="0" xfId="0" applyNumberFormat="1" applyAlignment="1" applyProtection="1">
      <alignment vertical="center"/>
      <protection locked="0"/>
    </xf>
    <xf numFmtId="4" fontId="8" fillId="10" borderId="0" xfId="0" applyNumberFormat="1" applyFont="1" applyFill="1" applyAlignment="1">
      <alignment horizontal="right" vertical="center"/>
    </xf>
    <xf numFmtId="164" fontId="1" fillId="0" borderId="0" xfId="0" applyNumberFormat="1" applyFont="1" applyAlignment="1">
      <alignment horizontal="center" vertical="center"/>
    </xf>
    <xf numFmtId="0" fontId="0" fillId="0" borderId="3" xfId="0" applyBorder="1" applyAlignment="1">
      <alignment horizontal="center" vertical="center"/>
    </xf>
    <xf numFmtId="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10" fontId="0" fillId="0" borderId="5" xfId="0" applyNumberFormat="1" applyBorder="1" applyAlignment="1">
      <alignment horizontal="center" vertical="center"/>
    </xf>
    <xf numFmtId="10" fontId="0" fillId="0" borderId="6" xfId="0" applyNumberFormat="1" applyBorder="1" applyAlignment="1">
      <alignment horizontal="center" vertical="center"/>
    </xf>
    <xf numFmtId="10" fontId="0" fillId="0" borderId="0" xfId="0" applyNumberFormat="1" applyAlignment="1">
      <alignment horizontal="left" vertical="center"/>
    </xf>
    <xf numFmtId="0" fontId="0" fillId="0" borderId="0" xfId="0" applyAlignment="1">
      <alignment horizontal="left" vertical="center"/>
    </xf>
    <xf numFmtId="4" fontId="0" fillId="0" borderId="0" xfId="0" applyNumberFormat="1" applyAlignment="1">
      <alignment horizontal="center" vertical="center"/>
    </xf>
    <xf numFmtId="2" fontId="0" fillId="0" borderId="0" xfId="0" applyNumberFormat="1" applyAlignment="1">
      <alignment horizontal="center" vertical="center"/>
    </xf>
    <xf numFmtId="0" fontId="0" fillId="0" borderId="8" xfId="0" applyBorder="1" applyAlignment="1">
      <alignment horizontal="center" vertical="center"/>
    </xf>
    <xf numFmtId="0" fontId="1" fillId="0" borderId="0" xfId="0" applyFont="1" applyAlignment="1">
      <alignment horizontal="left"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4" fontId="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10" fontId="0" fillId="0" borderId="8" xfId="0" applyNumberFormat="1" applyBorder="1" applyAlignment="1">
      <alignment horizontal="center" vertical="center"/>
    </xf>
    <xf numFmtId="4" fontId="21" fillId="0" borderId="0" xfId="0" applyNumberFormat="1" applyFont="1" applyAlignment="1">
      <alignment horizontal="center" vertical="center"/>
    </xf>
    <xf numFmtId="4" fontId="21" fillId="0" borderId="4" xfId="0" applyNumberFormat="1" applyFont="1" applyBorder="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8" fillId="9" borderId="0" xfId="0" applyFont="1" applyFill="1" applyAlignment="1">
      <alignment horizontal="left" vertical="center"/>
    </xf>
    <xf numFmtId="2" fontId="8" fillId="8" borderId="0" xfId="0" applyNumberFormat="1" applyFont="1" applyFill="1" applyAlignment="1">
      <alignment horizontal="right" vertical="center"/>
    </xf>
    <xf numFmtId="0" fontId="0" fillId="2" borderId="0" xfId="0" applyFill="1" applyAlignment="1">
      <alignment horizontal="center"/>
    </xf>
    <xf numFmtId="4" fontId="2" fillId="0" borderId="0" xfId="0" applyNumberFormat="1" applyFont="1" applyAlignment="1">
      <alignment horizontal="left"/>
    </xf>
    <xf numFmtId="4" fontId="6" fillId="4" borderId="0" xfId="0" applyNumberFormat="1" applyFont="1" applyFill="1" applyAlignment="1">
      <alignment vertical="top" wrapText="1"/>
    </xf>
    <xf numFmtId="0" fontId="6" fillId="4" borderId="0" xfId="0" applyFont="1" applyFill="1" applyAlignment="1">
      <alignment horizontal="right" vertical="center"/>
    </xf>
    <xf numFmtId="0" fontId="0" fillId="0" borderId="0" xfId="0" applyAlignment="1">
      <alignment horizontal="right" vertical="center"/>
    </xf>
    <xf numFmtId="0" fontId="6" fillId="4" borderId="0" xfId="0" applyFont="1" applyFill="1" applyAlignment="1">
      <alignment vertical="center" wrapText="1"/>
    </xf>
    <xf numFmtId="0" fontId="0" fillId="0" borderId="0" xfId="0" applyAlignment="1">
      <alignment vertical="center" wrapText="1"/>
    </xf>
    <xf numFmtId="0" fontId="0" fillId="0" borderId="0" xfId="0" applyAlignment="1">
      <alignment vertical="top" wrapText="1"/>
    </xf>
    <xf numFmtId="0" fontId="8" fillId="8" borderId="0" xfId="0" applyFont="1" applyFill="1" applyAlignment="1">
      <alignment horizontal="right" vertical="center"/>
    </xf>
    <xf numFmtId="0" fontId="8" fillId="4" borderId="0" xfId="0" applyFont="1" applyFill="1" applyAlignment="1">
      <alignment horizontal="center" vertical="center"/>
    </xf>
    <xf numFmtId="0" fontId="1" fillId="0" borderId="0" xfId="0" applyFont="1" applyAlignment="1">
      <alignment horizontal="center" vertical="center"/>
    </xf>
    <xf numFmtId="0" fontId="15" fillId="5" borderId="0" xfId="0" applyFont="1" applyFill="1" applyAlignment="1">
      <alignment horizontal="center" vertical="center"/>
    </xf>
    <xf numFmtId="0" fontId="6" fillId="10" borderId="0" xfId="0" applyFont="1" applyFill="1" applyAlignment="1">
      <alignment vertical="center" wrapText="1"/>
    </xf>
    <xf numFmtId="4" fontId="8" fillId="9" borderId="0" xfId="0" applyNumberFormat="1" applyFont="1" applyFill="1" applyAlignment="1">
      <alignment horizontal="center" vertical="center"/>
    </xf>
    <xf numFmtId="0" fontId="0" fillId="0" borderId="0" xfId="0" applyAlignment="1">
      <alignment horizontal="center" vertical="center"/>
    </xf>
    <xf numFmtId="4" fontId="6" fillId="9" borderId="0" xfId="0" applyNumberFormat="1" applyFont="1" applyFill="1" applyAlignment="1">
      <alignment horizontal="right" vertical="center"/>
    </xf>
    <xf numFmtId="4" fontId="8" fillId="9" borderId="0" xfId="0" applyNumberFormat="1" applyFont="1" applyFill="1" applyAlignment="1">
      <alignment horizontal="right" vertical="center"/>
    </xf>
    <xf numFmtId="0" fontId="6" fillId="9" borderId="0" xfId="0" applyFont="1" applyFill="1" applyAlignment="1">
      <alignment vertical="center" wrapText="1"/>
    </xf>
    <xf numFmtId="0" fontId="6" fillId="2" borderId="0" xfId="0" applyFont="1" applyFill="1" applyAlignment="1" applyProtection="1">
      <alignment vertical="center"/>
      <protection locked="0"/>
    </xf>
    <xf numFmtId="0" fontId="0" fillId="0" borderId="0" xfId="0" applyAlignment="1" applyProtection="1">
      <alignment vertical="center"/>
      <protection locked="0"/>
    </xf>
    <xf numFmtId="0" fontId="6" fillId="8" borderId="0" xfId="0" applyFont="1" applyFill="1" applyAlignment="1">
      <alignment vertical="center" wrapText="1"/>
    </xf>
    <xf numFmtId="0" fontId="0" fillId="8" borderId="0" xfId="0" applyFill="1" applyAlignment="1">
      <alignment vertical="center" wrapText="1"/>
    </xf>
    <xf numFmtId="0" fontId="8" fillId="9" borderId="0" xfId="0" applyFont="1" applyFill="1" applyAlignment="1">
      <alignment horizontal="center" vertical="center"/>
    </xf>
    <xf numFmtId="0" fontId="1" fillId="7" borderId="3" xfId="0" applyFont="1" applyFill="1" applyBorder="1" applyAlignment="1">
      <alignment horizontal="left" vertical="center" wrapText="1"/>
    </xf>
    <xf numFmtId="0" fontId="0" fillId="7" borderId="0" xfId="0" applyFill="1" applyAlignment="1">
      <alignment horizontal="left" vertical="center" wrapText="1"/>
    </xf>
    <xf numFmtId="0" fontId="0" fillId="0" borderId="0" xfId="0" applyAlignment="1">
      <alignment horizontal="left" vertical="center"/>
    </xf>
    <xf numFmtId="0" fontId="0" fillId="0" borderId="0" xfId="0" applyAlignment="1">
      <alignment wrapText="1"/>
    </xf>
  </cellXfs>
  <cellStyles count="1">
    <cellStyle name="Standard" xfId="0" builtinId="0"/>
  </cellStyles>
  <dxfs count="0"/>
  <tableStyles count="0" defaultTableStyle="TableStyleMedium2" defaultPivotStyle="PivotStyleLight16"/>
  <colors>
    <mruColors>
      <color rgb="FFFFF5D5"/>
      <color rgb="FFFDC300"/>
      <color rgb="FFFEF9F8"/>
      <color rgb="FFFDF1ED"/>
      <color rgb="FFFCE4DC"/>
      <color rgb="FFEB5B25"/>
      <color rgb="FFE6DFED"/>
      <color rgb="FF7F5CA3"/>
      <color rgb="FFECECED"/>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vertriebsportal.hansemerkur.de/protected-resource/blob/259770/a739303b4e8697726b60f078fbbd2a35/beitraege-pkv-vs-gkv-selbstaendige-2-0-data.xlsx"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285669</xdr:colOff>
      <xdr:row>0</xdr:row>
      <xdr:rowOff>429681</xdr:rowOff>
    </xdr:from>
    <xdr:to>
      <xdr:col>6</xdr:col>
      <xdr:colOff>153595</xdr:colOff>
      <xdr:row>2</xdr:row>
      <xdr:rowOff>34826</xdr:rowOff>
    </xdr:to>
    <xdr:pic>
      <xdr:nvPicPr>
        <xdr:cNvPr id="4" name="Grafik 3">
          <a:extLst>
            <a:ext uri="{FF2B5EF4-FFF2-40B4-BE49-F238E27FC236}">
              <a16:creationId xmlns:a16="http://schemas.microsoft.com/office/drawing/2014/main" id="{DE88F483-4201-DACD-4A05-8791FDCD2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7336" y="429681"/>
          <a:ext cx="1320729" cy="800273"/>
        </a:xfrm>
        <a:prstGeom prst="rect">
          <a:avLst/>
        </a:prstGeom>
      </xdr:spPr>
    </xdr:pic>
    <xdr:clientData/>
  </xdr:twoCellAnchor>
  <xdr:twoCellAnchor>
    <xdr:from>
      <xdr:col>1</xdr:col>
      <xdr:colOff>211455</xdr:colOff>
      <xdr:row>136</xdr:row>
      <xdr:rowOff>133350</xdr:rowOff>
    </xdr:from>
    <xdr:to>
      <xdr:col>1</xdr:col>
      <xdr:colOff>1713366</xdr:colOff>
      <xdr:row>137</xdr:row>
      <xdr:rowOff>298258</xdr:rowOff>
    </xdr:to>
    <xdr:sp macro="" textlink="">
      <xdr:nvSpPr>
        <xdr:cNvPr id="5" name="Rechteck: abgerundete Ecken 4">
          <a:extLst>
            <a:ext uri="{FF2B5EF4-FFF2-40B4-BE49-F238E27FC236}">
              <a16:creationId xmlns:a16="http://schemas.microsoft.com/office/drawing/2014/main" id="{A591AB82-64BB-46E7-BF72-A8746DBF3002}"/>
            </a:ext>
          </a:extLst>
        </xdr:cNvPr>
        <xdr:cNvSpPr/>
      </xdr:nvSpPr>
      <xdr:spPr>
        <a:xfrm>
          <a:off x="509713" y="32527971"/>
          <a:ext cx="1501911" cy="357332"/>
        </a:xfrm>
        <a:prstGeom prst="roundRect">
          <a:avLst/>
        </a:prstGeom>
        <a:solidFill>
          <a:srgbClr val="005E52"/>
        </a:solidFill>
        <a:ln>
          <a:solidFill>
            <a:srgbClr val="005E5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551441</xdr:colOff>
      <xdr:row>137</xdr:row>
      <xdr:rowOff>9621</xdr:rowOff>
    </xdr:from>
    <xdr:to>
      <xdr:col>1</xdr:col>
      <xdr:colOff>1520413</xdr:colOff>
      <xdr:row>137</xdr:row>
      <xdr:rowOff>245781</xdr:rowOff>
    </xdr:to>
    <xdr:sp macro="" textlink="">
      <xdr:nvSpPr>
        <xdr:cNvPr id="6" name="Textfeld 5">
          <a:hlinkClick xmlns:r="http://schemas.openxmlformats.org/officeDocument/2006/relationships" r:id="rId2"/>
          <a:extLst>
            <a:ext uri="{FF2B5EF4-FFF2-40B4-BE49-F238E27FC236}">
              <a16:creationId xmlns:a16="http://schemas.microsoft.com/office/drawing/2014/main" id="{49E2DBA2-8903-489D-A177-20C87DB43BD9}"/>
            </a:ext>
          </a:extLst>
        </xdr:cNvPr>
        <xdr:cNvSpPr txBox="1"/>
      </xdr:nvSpPr>
      <xdr:spPr>
        <a:xfrm>
          <a:off x="849699" y="32596666"/>
          <a:ext cx="968972" cy="236160"/>
        </a:xfrm>
        <a:prstGeom prst="rect">
          <a:avLst/>
        </a:prstGeom>
        <a:solidFill>
          <a:srgbClr val="005E52"/>
        </a:solidFill>
        <a:ln w="9525" cmpd="sng">
          <a:solidFill>
            <a:srgbClr val="005E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solidFill>
                <a:schemeClr val="bg1"/>
              </a:solidFill>
            </a:rPr>
            <a:t>Herunterladen</a:t>
          </a:r>
        </a:p>
      </xdr:txBody>
    </xdr:sp>
    <xdr:clientData/>
  </xdr:twoCellAnchor>
  <xdr:twoCellAnchor>
    <xdr:from>
      <xdr:col>1</xdr:col>
      <xdr:colOff>298258</xdr:colOff>
      <xdr:row>137</xdr:row>
      <xdr:rowOff>47413</xdr:rowOff>
    </xdr:from>
    <xdr:to>
      <xdr:col>1</xdr:col>
      <xdr:colOff>491918</xdr:colOff>
      <xdr:row>137</xdr:row>
      <xdr:rowOff>202045</xdr:rowOff>
    </xdr:to>
    <xdr:sp macro="" textlink="">
      <xdr:nvSpPr>
        <xdr:cNvPr id="10" name="Ellipse 9">
          <a:extLst>
            <a:ext uri="{FF2B5EF4-FFF2-40B4-BE49-F238E27FC236}">
              <a16:creationId xmlns:a16="http://schemas.microsoft.com/office/drawing/2014/main" id="{BB7B74E7-D876-48AD-9F36-DE99312871E0}"/>
            </a:ext>
          </a:extLst>
        </xdr:cNvPr>
        <xdr:cNvSpPr/>
      </xdr:nvSpPr>
      <xdr:spPr bwMode="gray">
        <a:xfrm>
          <a:off x="596516" y="32634458"/>
          <a:ext cx="193660" cy="15463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72000" rIns="108000" bIns="72000"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10000"/>
            </a:lnSpc>
            <a:spcBef>
              <a:spcPts val="600"/>
            </a:spcBef>
          </a:pPr>
          <a:endParaRPr lang="de-DE" sz="1600">
            <a:solidFill>
              <a:schemeClr val="tx1"/>
            </a:solidFill>
          </a:endParaRPr>
        </a:p>
      </xdr:txBody>
    </xdr:sp>
    <xdr:clientData/>
  </xdr:twoCellAnchor>
  <xdr:twoCellAnchor>
    <xdr:from>
      <xdr:col>1</xdr:col>
      <xdr:colOff>377190</xdr:colOff>
      <xdr:row>137</xdr:row>
      <xdr:rowOff>88475</xdr:rowOff>
    </xdr:from>
    <xdr:to>
      <xdr:col>1</xdr:col>
      <xdr:colOff>422909</xdr:colOff>
      <xdr:row>137</xdr:row>
      <xdr:rowOff>132365</xdr:rowOff>
    </xdr:to>
    <xdr:sp macro="" textlink="">
      <xdr:nvSpPr>
        <xdr:cNvPr id="11" name="Freihandform: Form 10">
          <a:extLst>
            <a:ext uri="{FF2B5EF4-FFF2-40B4-BE49-F238E27FC236}">
              <a16:creationId xmlns:a16="http://schemas.microsoft.com/office/drawing/2014/main" id="{DA55D361-90ED-41B2-A114-3C97F7A4B55E}"/>
            </a:ext>
          </a:extLst>
        </xdr:cNvPr>
        <xdr:cNvSpPr/>
      </xdr:nvSpPr>
      <xdr:spPr bwMode="gray">
        <a:xfrm>
          <a:off x="675448" y="32675520"/>
          <a:ext cx="45719" cy="43890"/>
        </a:xfrm>
        <a:custGeom>
          <a:avLst/>
          <a:gdLst>
            <a:gd name="connsiteX0" fmla="*/ 22119 w 435599"/>
            <a:gd name="connsiteY0" fmla="*/ 498 h 498734"/>
            <a:gd name="connsiteX1" fmla="*/ 33173 w 435599"/>
            <a:gd name="connsiteY1" fmla="*/ 1954 h 498734"/>
            <a:gd name="connsiteX2" fmla="*/ 422259 w 435599"/>
            <a:gd name="connsiteY2" fmla="*/ 226592 h 498734"/>
            <a:gd name="connsiteX3" fmla="*/ 435531 w 435599"/>
            <a:gd name="connsiteY3" fmla="*/ 249670 h 498734"/>
            <a:gd name="connsiteX4" fmla="*/ 422258 w 435599"/>
            <a:gd name="connsiteY4" fmla="*/ 272142 h 498734"/>
            <a:gd name="connsiteX5" fmla="*/ 33172 w 435599"/>
            <a:gd name="connsiteY5" fmla="*/ 496780 h 498734"/>
            <a:gd name="connsiteX6" fmla="*/ 13271 w 435599"/>
            <a:gd name="connsiteY6" fmla="*/ 491448 h 498734"/>
            <a:gd name="connsiteX7" fmla="*/ 1954 w 435599"/>
            <a:gd name="connsiteY7" fmla="*/ 471845 h 498734"/>
            <a:gd name="connsiteX8" fmla="*/ 7286 w 435599"/>
            <a:gd name="connsiteY8" fmla="*/ 451944 h 498734"/>
            <a:gd name="connsiteX9" fmla="*/ 358160 w 435599"/>
            <a:gd name="connsiteY9" fmla="*/ 249367 h 498734"/>
            <a:gd name="connsiteX10" fmla="*/ 7287 w 435599"/>
            <a:gd name="connsiteY10" fmla="*/ 46790 h 498734"/>
            <a:gd name="connsiteX11" fmla="*/ 1955 w 435599"/>
            <a:gd name="connsiteY11" fmla="*/ 26890 h 498734"/>
            <a:gd name="connsiteX12" fmla="*/ 13273 w 435599"/>
            <a:gd name="connsiteY12" fmla="*/ 7286 h 498734"/>
            <a:gd name="connsiteX13" fmla="*/ 22119 w 435599"/>
            <a:gd name="connsiteY13" fmla="*/ 498 h 4987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35599" h="498734">
              <a:moveTo>
                <a:pt x="22119" y="498"/>
              </a:moveTo>
              <a:cubicBezTo>
                <a:pt x="25720" y="-466"/>
                <a:pt x="29689" y="-58"/>
                <a:pt x="33173" y="1954"/>
              </a:cubicBezTo>
              <a:lnTo>
                <a:pt x="422259" y="226592"/>
              </a:lnTo>
              <a:cubicBezTo>
                <a:pt x="429227" y="230616"/>
                <a:pt x="436379" y="236351"/>
                <a:pt x="435531" y="249670"/>
              </a:cubicBezTo>
              <a:cubicBezTo>
                <a:pt x="436400" y="260865"/>
                <a:pt x="428535" y="265710"/>
                <a:pt x="422258" y="272142"/>
              </a:cubicBezTo>
              <a:lnTo>
                <a:pt x="33172" y="496780"/>
              </a:lnTo>
              <a:cubicBezTo>
                <a:pt x="26204" y="500804"/>
                <a:pt x="17295" y="498416"/>
                <a:pt x="13271" y="491448"/>
              </a:cubicBezTo>
              <a:lnTo>
                <a:pt x="1954" y="471845"/>
              </a:lnTo>
              <a:cubicBezTo>
                <a:pt x="-2069" y="464877"/>
                <a:pt x="318" y="455968"/>
                <a:pt x="7286" y="451944"/>
              </a:cubicBezTo>
              <a:lnTo>
                <a:pt x="358160" y="249367"/>
              </a:lnTo>
              <a:lnTo>
                <a:pt x="7287" y="46790"/>
              </a:lnTo>
              <a:cubicBezTo>
                <a:pt x="319" y="42767"/>
                <a:pt x="-2068" y="33858"/>
                <a:pt x="1955" y="26890"/>
              </a:cubicBezTo>
              <a:lnTo>
                <a:pt x="13273" y="7286"/>
              </a:lnTo>
              <a:cubicBezTo>
                <a:pt x="15284" y="3802"/>
                <a:pt x="18518" y="1463"/>
                <a:pt x="22119" y="498"/>
              </a:cubicBezTo>
              <a:close/>
            </a:path>
          </a:pathLst>
        </a:custGeom>
        <a:solidFill>
          <a:srgbClr val="005E52"/>
        </a:solidFill>
        <a:ln>
          <a:solidFill>
            <a:srgbClr val="005E5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72000" rIns="108000" bIns="72000"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10000"/>
            </a:lnSpc>
            <a:spcBef>
              <a:spcPts val="600"/>
            </a:spcBef>
          </a:pPr>
          <a:endParaRPr lang="de-DE" sz="1600">
            <a:ln>
              <a:solidFill>
                <a:srgbClr val="005E52"/>
              </a:solidFill>
            </a:ln>
            <a:solidFill>
              <a:srgbClr val="005E52"/>
            </a:solidFill>
          </a:endParaRP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DDB8D-3DA5-4C3A-9A2C-27846B1A6449}">
  <sheetPr codeName="Tabelle1">
    <pageSetUpPr fitToPage="1"/>
  </sheetPr>
  <dimension ref="A1:CS138"/>
  <sheetViews>
    <sheetView showGridLines="0" showRowColHeaders="0" showZeros="0" tabSelected="1" zoomScale="99" zoomScaleNormal="99" workbookViewId="0">
      <selection activeCell="A2" sqref="A2"/>
      <extLst>
        <ext xmlns:xlsdti="http://schemas.microsoft.com/office/spreadsheetml/2023/showDataTypeIcons" uri="{77bfe23e-c014-4d31-8a63-9c772dbf06b6}">
          <xlsdti:showDataTypeIcons visible="0"/>
        </ext>
      </extLst>
    </sheetView>
  </sheetViews>
  <sheetFormatPr baseColWidth="10" defaultColWidth="11.5703125" defaultRowHeight="15" x14ac:dyDescent="0.25"/>
  <cols>
    <col min="1" max="1" width="7" style="14" customWidth="1"/>
    <col min="2" max="2" width="31.140625" style="14" customWidth="1"/>
    <col min="3" max="3" width="19.140625" style="14" customWidth="1"/>
    <col min="4" max="4" width="2.85546875" style="14" customWidth="1"/>
    <col min="5" max="5" width="11.42578125" style="14" customWidth="1"/>
    <col min="6" max="6" width="10.42578125" style="14" customWidth="1"/>
    <col min="7" max="7" width="2.7109375" style="14" customWidth="1"/>
    <col min="8" max="8" width="12.85546875" style="14" customWidth="1"/>
    <col min="9" max="9" width="0.7109375" style="14" customWidth="1"/>
    <col min="10" max="10" width="8.85546875" style="14" customWidth="1"/>
    <col min="11" max="11" width="8.28515625" style="14" customWidth="1"/>
    <col min="12" max="12" width="16.7109375" style="14" customWidth="1"/>
    <col min="13" max="13" width="8.28515625" style="14" customWidth="1"/>
    <col min="14" max="14" width="10" style="14" customWidth="1"/>
    <col min="15" max="15" width="3" style="14" customWidth="1"/>
    <col min="16" max="16" width="7.28515625" style="14" customWidth="1"/>
    <col min="17" max="19" width="11.5703125" style="14"/>
    <col min="20" max="20" width="7.28515625" style="14" customWidth="1"/>
    <col min="21" max="16384" width="11.5703125" style="14"/>
  </cols>
  <sheetData>
    <row r="1" spans="1:15" ht="66" customHeight="1" x14ac:dyDescent="0.25"/>
    <row r="2" spans="1:15" ht="29.25" customHeight="1" x14ac:dyDescent="0.25">
      <c r="A2" s="24"/>
      <c r="B2" s="24"/>
      <c r="C2" s="24"/>
      <c r="D2" s="24"/>
      <c r="E2" s="24"/>
      <c r="F2" s="24"/>
      <c r="G2" s="24"/>
      <c r="H2" s="24"/>
      <c r="I2" s="24"/>
      <c r="J2" s="24"/>
      <c r="K2" s="24"/>
      <c r="L2" s="24"/>
      <c r="M2" s="24"/>
      <c r="N2" s="24"/>
      <c r="O2" s="24"/>
    </row>
    <row r="3" spans="1:15" ht="29.25" customHeight="1" x14ac:dyDescent="0.25">
      <c r="A3" s="24"/>
      <c r="B3" s="24"/>
      <c r="C3" s="24"/>
      <c r="D3" s="24"/>
      <c r="E3" s="24"/>
      <c r="F3" s="24"/>
      <c r="G3" s="24"/>
      <c r="H3" s="24"/>
      <c r="I3" s="24"/>
      <c r="J3" s="24"/>
      <c r="K3" s="24"/>
      <c r="L3" s="24"/>
      <c r="M3" s="24"/>
      <c r="N3" s="24"/>
      <c r="O3" s="24"/>
    </row>
    <row r="4" spans="1:15" ht="29.25" customHeight="1" x14ac:dyDescent="0.25">
      <c r="A4" s="83"/>
      <c r="B4" s="83"/>
      <c r="C4" s="84" t="s">
        <v>303</v>
      </c>
      <c r="D4" s="83"/>
      <c r="E4" s="83"/>
      <c r="F4" s="83"/>
      <c r="G4" s="83"/>
      <c r="H4" s="83"/>
      <c r="I4" s="83"/>
      <c r="J4" s="83"/>
      <c r="K4" s="83"/>
      <c r="L4" s="83"/>
      <c r="M4" s="24"/>
      <c r="N4" s="24"/>
      <c r="O4" s="24"/>
    </row>
    <row r="5" spans="1:15" ht="33.6" customHeight="1" x14ac:dyDescent="0.25">
      <c r="A5" s="83"/>
      <c r="B5" s="83"/>
      <c r="C5" s="83"/>
      <c r="D5" s="83"/>
      <c r="E5" s="83"/>
      <c r="F5" s="83"/>
      <c r="G5" s="83"/>
      <c r="H5" s="83"/>
      <c r="I5" s="83"/>
      <c r="J5" s="83"/>
      <c r="K5" s="83"/>
      <c r="L5" s="83"/>
      <c r="M5" s="24"/>
      <c r="N5" s="24"/>
      <c r="O5" s="24"/>
    </row>
    <row r="6" spans="1:15" ht="21" customHeight="1" x14ac:dyDescent="0.25">
      <c r="A6" s="24"/>
      <c r="B6" s="24"/>
      <c r="C6" s="26" t="s">
        <v>231</v>
      </c>
      <c r="D6" s="24"/>
      <c r="E6" s="24"/>
      <c r="F6" s="142" t="s">
        <v>230</v>
      </c>
      <c r="G6" s="143"/>
      <c r="H6" s="143"/>
      <c r="I6" s="143"/>
      <c r="J6" s="143"/>
      <c r="K6" s="143"/>
      <c r="L6" s="143"/>
      <c r="M6" s="143"/>
      <c r="N6" s="143"/>
      <c r="O6" s="24"/>
    </row>
    <row r="7" spans="1:15" ht="6" customHeight="1" x14ac:dyDescent="0.25">
      <c r="A7" s="24"/>
      <c r="B7" s="24"/>
      <c r="C7" s="26"/>
      <c r="D7" s="24"/>
      <c r="E7" s="24"/>
      <c r="F7" s="24"/>
      <c r="G7" s="24"/>
      <c r="H7" s="24"/>
      <c r="I7" s="24"/>
      <c r="J7" s="24"/>
      <c r="K7" s="24"/>
      <c r="L7" s="24"/>
      <c r="M7" s="24"/>
      <c r="N7" s="24"/>
      <c r="O7" s="24"/>
    </row>
    <row r="8" spans="1:15" ht="21" customHeight="1" x14ac:dyDescent="0.25">
      <c r="A8" s="24"/>
      <c r="B8" s="24" t="s">
        <v>11</v>
      </c>
      <c r="C8" s="39" t="s">
        <v>233</v>
      </c>
      <c r="D8" s="24"/>
      <c r="E8" s="24"/>
      <c r="F8" s="24" t="s">
        <v>232</v>
      </c>
      <c r="G8" s="24"/>
      <c r="H8" s="24"/>
      <c r="I8" s="24"/>
      <c r="J8" s="151" t="s">
        <v>107</v>
      </c>
      <c r="K8" s="152"/>
      <c r="L8" s="152"/>
      <c r="M8" s="45" t="s">
        <v>63</v>
      </c>
      <c r="N8" s="24"/>
      <c r="O8" s="24"/>
    </row>
    <row r="9" spans="1:15" ht="6" customHeight="1" x14ac:dyDescent="0.25">
      <c r="A9" s="24"/>
      <c r="B9" s="24"/>
      <c r="C9" s="36"/>
      <c r="D9" s="24"/>
      <c r="E9" s="24"/>
      <c r="F9" s="24"/>
      <c r="G9" s="24"/>
      <c r="H9" s="24"/>
      <c r="I9" s="24"/>
      <c r="J9" s="24"/>
      <c r="K9" s="24"/>
      <c r="L9" s="24"/>
      <c r="M9" s="24"/>
      <c r="N9" s="24"/>
      <c r="O9" s="24"/>
    </row>
    <row r="10" spans="1:15" ht="21" customHeight="1" x14ac:dyDescent="0.25">
      <c r="A10" s="24"/>
      <c r="B10" s="24" t="s">
        <v>235</v>
      </c>
      <c r="C10" s="37" t="s">
        <v>239</v>
      </c>
      <c r="D10" s="24"/>
      <c r="E10" s="24"/>
      <c r="F10" s="24"/>
      <c r="G10" s="24"/>
      <c r="H10" s="24"/>
      <c r="I10" s="24"/>
      <c r="J10" s="24"/>
      <c r="K10" s="24"/>
      <c r="L10" s="24"/>
      <c r="M10" s="24"/>
      <c r="N10" s="24"/>
      <c r="O10" s="24"/>
    </row>
    <row r="11" spans="1:15" ht="6" customHeight="1" x14ac:dyDescent="0.25">
      <c r="A11" s="24"/>
      <c r="B11" s="24"/>
      <c r="C11" s="36"/>
      <c r="D11" s="24"/>
      <c r="E11" s="24"/>
      <c r="F11" s="24"/>
      <c r="G11" s="24"/>
      <c r="H11" s="24"/>
      <c r="I11" s="24"/>
      <c r="J11" s="24"/>
      <c r="K11" s="24"/>
      <c r="L11" s="24"/>
      <c r="M11" s="24"/>
      <c r="N11" s="24"/>
      <c r="O11" s="24"/>
    </row>
    <row r="12" spans="1:15" ht="21" customHeight="1" x14ac:dyDescent="0.25">
      <c r="A12" s="24"/>
      <c r="B12" s="24" t="s">
        <v>12</v>
      </c>
      <c r="C12" s="37">
        <v>1990</v>
      </c>
      <c r="D12" s="24"/>
      <c r="E12" s="24"/>
      <c r="F12" s="24" t="s">
        <v>56</v>
      </c>
      <c r="G12" s="24"/>
      <c r="H12" s="24"/>
      <c r="I12" s="24"/>
      <c r="J12" s="25">
        <v>0.14599999999999999</v>
      </c>
      <c r="K12" s="24"/>
      <c r="L12" s="24"/>
      <c r="M12" s="24"/>
      <c r="N12" s="24"/>
      <c r="O12" s="24"/>
    </row>
    <row r="13" spans="1:15" ht="6" customHeight="1" x14ac:dyDescent="0.25">
      <c r="A13" s="24"/>
      <c r="B13" s="24"/>
      <c r="C13" s="36"/>
      <c r="D13" s="24"/>
      <c r="E13" s="24"/>
      <c r="F13" s="24"/>
      <c r="G13" s="24"/>
      <c r="H13" s="24"/>
      <c r="I13" s="24"/>
      <c r="J13" s="25"/>
      <c r="K13" s="24"/>
      <c r="L13" s="24"/>
      <c r="M13" s="24"/>
      <c r="N13" s="24"/>
      <c r="O13" s="24"/>
    </row>
    <row r="14" spans="1:15" ht="21" customHeight="1" x14ac:dyDescent="0.25">
      <c r="A14" s="24"/>
      <c r="B14" s="24" t="s">
        <v>13</v>
      </c>
      <c r="C14" s="37">
        <v>2026</v>
      </c>
      <c r="D14" s="24"/>
      <c r="E14" s="24"/>
      <c r="F14" s="24" t="s">
        <v>22</v>
      </c>
      <c r="G14" s="24"/>
      <c r="H14" s="24"/>
      <c r="I14" s="24"/>
      <c r="J14" s="25">
        <f>VLOOKUP(J8,GKVListe!$B$3:$V$9696,2,FALSE)</f>
        <v>3.2899999999999999E-2</v>
      </c>
      <c r="K14" s="24"/>
      <c r="L14" s="24"/>
      <c r="M14" s="24"/>
      <c r="N14" s="24"/>
      <c r="O14" s="24"/>
    </row>
    <row r="15" spans="1:15" ht="6" customHeight="1" x14ac:dyDescent="0.25">
      <c r="A15" s="24"/>
      <c r="B15" s="24"/>
      <c r="C15" s="36"/>
      <c r="D15" s="24"/>
      <c r="E15" s="24"/>
      <c r="F15" s="24"/>
      <c r="G15" s="24"/>
      <c r="H15" s="24"/>
      <c r="I15" s="24"/>
      <c r="J15" s="36"/>
      <c r="K15" s="24"/>
      <c r="L15" s="24"/>
      <c r="M15" s="24"/>
      <c r="N15" s="24"/>
      <c r="O15" s="24"/>
    </row>
    <row r="16" spans="1:15" ht="21" customHeight="1" x14ac:dyDescent="0.25">
      <c r="A16" s="24"/>
      <c r="B16" s="24" t="s">
        <v>222</v>
      </c>
      <c r="C16" s="50" t="s">
        <v>224</v>
      </c>
      <c r="D16" s="45" t="s">
        <v>63</v>
      </c>
      <c r="E16" s="24"/>
      <c r="F16" s="24" t="s">
        <v>21</v>
      </c>
      <c r="G16" s="24"/>
      <c r="H16" s="24"/>
      <c r="I16" s="24"/>
      <c r="J16" s="25">
        <f>VLOOKUP(C16,GKVListe!$G$3:$H$8,2,FALSE)</f>
        <v>4.2000000000000003E-2</v>
      </c>
      <c r="K16" s="24"/>
      <c r="L16" s="24"/>
      <c r="M16" s="24"/>
      <c r="N16" s="24"/>
      <c r="O16" s="24"/>
    </row>
    <row r="17" spans="1:86" ht="6" customHeight="1" x14ac:dyDescent="0.25">
      <c r="A17" s="24"/>
      <c r="B17" s="24"/>
      <c r="C17" s="24"/>
      <c r="D17" s="24"/>
      <c r="E17" s="24"/>
      <c r="F17" s="24"/>
      <c r="G17" s="24"/>
      <c r="H17" s="24"/>
      <c r="I17" s="24"/>
      <c r="J17" s="36"/>
      <c r="K17" s="24"/>
      <c r="L17" s="24"/>
      <c r="M17" s="24"/>
      <c r="N17" s="24"/>
      <c r="O17" s="24"/>
    </row>
    <row r="18" spans="1:86" ht="21" customHeight="1" x14ac:dyDescent="0.25">
      <c r="A18" s="24"/>
      <c r="B18" s="24" t="s">
        <v>14</v>
      </c>
      <c r="C18" s="38">
        <v>42000</v>
      </c>
      <c r="D18" s="24"/>
      <c r="E18" s="63"/>
      <c r="F18" s="24"/>
      <c r="G18" s="24"/>
      <c r="H18" s="24"/>
      <c r="I18" s="24"/>
      <c r="J18" s="24"/>
      <c r="K18" s="24"/>
      <c r="L18" s="24"/>
      <c r="M18" s="24"/>
      <c r="N18" s="24"/>
      <c r="O18" s="24"/>
    </row>
    <row r="19" spans="1:86" ht="6" customHeight="1" x14ac:dyDescent="0.25">
      <c r="A19" s="24"/>
      <c r="B19" s="24"/>
      <c r="C19" s="24"/>
      <c r="D19" s="24"/>
      <c r="E19" s="63"/>
      <c r="F19" s="24"/>
      <c r="G19" s="24"/>
      <c r="H19" s="24"/>
      <c r="I19" s="24"/>
      <c r="J19" s="24"/>
      <c r="K19" s="24"/>
      <c r="L19" s="24"/>
      <c r="M19" s="24"/>
      <c r="N19" s="24"/>
      <c r="O19" s="24"/>
    </row>
    <row r="20" spans="1:86" ht="21" customHeight="1" x14ac:dyDescent="0.25">
      <c r="A20" s="24"/>
      <c r="B20" s="24" t="s">
        <v>272</v>
      </c>
      <c r="C20" s="24">
        <f>E39</f>
        <v>95</v>
      </c>
      <c r="D20" s="45" t="s">
        <v>63</v>
      </c>
      <c r="E20" s="85"/>
      <c r="F20" s="24"/>
      <c r="G20" s="24"/>
      <c r="H20" s="24"/>
      <c r="I20" s="24"/>
      <c r="J20" s="24"/>
      <c r="K20" s="24"/>
      <c r="L20" s="24"/>
      <c r="M20" s="24"/>
      <c r="N20" s="24"/>
      <c r="O20" s="24"/>
    </row>
    <row r="21" spans="1:86" ht="6" customHeight="1" x14ac:dyDescent="0.25">
      <c r="A21" s="24"/>
      <c r="B21" s="24"/>
      <c r="C21" s="24"/>
      <c r="D21" s="24"/>
      <c r="E21" s="24"/>
      <c r="F21" s="24"/>
      <c r="G21" s="24"/>
      <c r="H21" s="24"/>
      <c r="I21" s="24"/>
      <c r="J21" s="24"/>
      <c r="K21" s="24"/>
      <c r="L21" s="24"/>
      <c r="M21" s="24"/>
      <c r="N21" s="24"/>
      <c r="O21" s="24"/>
    </row>
    <row r="22" spans="1:86" ht="24" customHeight="1" x14ac:dyDescent="0.25">
      <c r="A22" s="16"/>
      <c r="B22" s="16"/>
      <c r="C22" s="16"/>
      <c r="D22" s="16"/>
      <c r="E22" s="16"/>
      <c r="F22" s="16"/>
      <c r="G22" s="16"/>
      <c r="H22" s="16"/>
      <c r="I22" s="16"/>
      <c r="J22" s="16"/>
      <c r="K22" s="16"/>
      <c r="L22" s="16"/>
      <c r="M22" s="16"/>
      <c r="N22" s="16"/>
    </row>
    <row r="23" spans="1:86" ht="6" customHeight="1" x14ac:dyDescent="0.25">
      <c r="A23" s="24"/>
      <c r="B23" s="24"/>
      <c r="C23" s="24"/>
      <c r="D23" s="24"/>
      <c r="E23" s="24"/>
      <c r="F23" s="24"/>
      <c r="G23" s="24"/>
      <c r="H23" s="24"/>
      <c r="I23" s="24"/>
      <c r="J23" s="16"/>
      <c r="K23" s="24"/>
      <c r="L23" s="24"/>
      <c r="M23" s="24"/>
      <c r="N23" s="24"/>
      <c r="O23" s="24"/>
    </row>
    <row r="24" spans="1:86" ht="18" x14ac:dyDescent="0.25">
      <c r="A24" s="24"/>
      <c r="B24" s="82" t="s">
        <v>9</v>
      </c>
      <c r="C24" s="24"/>
      <c r="D24" s="24"/>
      <c r="E24" s="24"/>
      <c r="F24" s="24"/>
      <c r="G24" s="24"/>
      <c r="H24" s="24"/>
      <c r="I24" s="24"/>
      <c r="J24" s="16"/>
      <c r="K24" s="24"/>
      <c r="L24" s="26" t="str">
        <f>J8</f>
        <v xml:space="preserve">BARMER </v>
      </c>
      <c r="M24" s="24"/>
      <c r="N24" s="24"/>
      <c r="O24" s="24"/>
    </row>
    <row r="25" spans="1:86" s="18" customFormat="1" x14ac:dyDescent="0.25">
      <c r="A25" s="24"/>
      <c r="B25" s="24"/>
      <c r="C25" s="24"/>
      <c r="D25" s="24"/>
      <c r="E25" s="24"/>
      <c r="F25" s="24"/>
      <c r="G25" s="24"/>
      <c r="H25" s="24"/>
      <c r="I25" s="24"/>
      <c r="J25" s="17"/>
      <c r="K25" s="24"/>
      <c r="L25" s="24"/>
      <c r="M25" s="24"/>
      <c r="N25" s="24"/>
      <c r="O25" s="2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row>
    <row r="26" spans="1:86" ht="21" customHeight="1" x14ac:dyDescent="0.25">
      <c r="A26" s="24"/>
      <c r="B26" s="26" t="s">
        <v>17</v>
      </c>
      <c r="C26" s="24"/>
      <c r="D26" s="24"/>
      <c r="E26" s="28" t="s">
        <v>33</v>
      </c>
      <c r="F26" s="28" t="s">
        <v>25</v>
      </c>
      <c r="G26" s="28"/>
      <c r="H26" s="62" t="s">
        <v>258</v>
      </c>
      <c r="I26" s="24"/>
      <c r="J26" s="16"/>
      <c r="K26" s="24"/>
      <c r="L26" s="26" t="s">
        <v>17</v>
      </c>
      <c r="M26" s="24"/>
      <c r="N26" s="28" t="s">
        <v>25</v>
      </c>
      <c r="O26" s="24"/>
    </row>
    <row r="27" spans="1:86" ht="21" customHeight="1" x14ac:dyDescent="0.25">
      <c r="A27" s="24"/>
      <c r="B27" s="24"/>
      <c r="C27" s="24"/>
      <c r="D27" s="24"/>
      <c r="E27" s="24"/>
      <c r="F27" s="29"/>
      <c r="G27" s="24"/>
      <c r="H27" s="24"/>
      <c r="I27" s="24"/>
      <c r="J27" s="16"/>
      <c r="K27" s="24"/>
      <c r="L27" s="24"/>
      <c r="M27" s="24"/>
      <c r="N27" s="24"/>
      <c r="O27" s="24"/>
    </row>
    <row r="28" spans="1:86" ht="6" customHeight="1" x14ac:dyDescent="0.25">
      <c r="A28" s="24"/>
      <c r="B28" s="24"/>
      <c r="C28" s="24"/>
      <c r="D28" s="24"/>
      <c r="E28" s="24"/>
      <c r="F28" s="61"/>
      <c r="G28" s="24"/>
      <c r="H28" s="24"/>
      <c r="I28" s="24"/>
      <c r="J28" s="16"/>
      <c r="K28" s="24"/>
      <c r="L28" s="24"/>
      <c r="M28" s="24"/>
      <c r="N28" s="24"/>
      <c r="O28" s="24"/>
    </row>
    <row r="29" spans="1:86" ht="21" customHeight="1" x14ac:dyDescent="0.25">
      <c r="A29" s="24"/>
      <c r="B29" s="24" t="s">
        <v>16</v>
      </c>
      <c r="C29" s="39" t="s">
        <v>55</v>
      </c>
      <c r="D29" s="45" t="s">
        <v>63</v>
      </c>
      <c r="E29" s="24"/>
      <c r="F29" s="27">
        <f>VLOOKUP(C29,Tabelle2!$A$26:$B$37,2,FALSE)</f>
        <v>315.38099999999997</v>
      </c>
      <c r="G29" s="24"/>
      <c r="H29" s="29" t="str">
        <f>IFERROR(VLOOKUP(C29,Tabelle2!$A$26:$C$28,3,FALSE), "")</f>
        <v/>
      </c>
      <c r="I29" s="24"/>
      <c r="J29" s="16"/>
      <c r="K29" s="24"/>
      <c r="L29" s="39" t="s">
        <v>24</v>
      </c>
      <c r="M29" s="23" t="s">
        <v>63</v>
      </c>
      <c r="N29" s="29">
        <f>IF(L29=Tabelle2!A44,
     MAX(MIN(VLOOKUP(L29, Tabelle2!$A$43:$B$44, 2, FALSE), Tabelle2!C44), Tabelle2!E44),
     MAX(MIN(VLOOKUP(L29, Tabelle2!$A$43:$B$44, 2, FALSE), Tabelle2!C43), Tabelle2!E43))</f>
        <v>626.15</v>
      </c>
      <c r="O29" s="24"/>
    </row>
    <row r="30" spans="1:86" ht="6" customHeight="1" x14ac:dyDescent="0.25">
      <c r="A30" s="24"/>
      <c r="B30" s="24"/>
      <c r="C30" s="24"/>
      <c r="D30" s="24"/>
      <c r="E30" s="24"/>
      <c r="F30" s="27"/>
      <c r="G30" s="27"/>
      <c r="H30" s="24"/>
      <c r="I30" s="24"/>
      <c r="J30" s="16"/>
      <c r="K30" s="24"/>
      <c r="L30" s="24"/>
      <c r="M30" s="24"/>
      <c r="N30" s="29"/>
      <c r="O30" s="24"/>
    </row>
    <row r="31" spans="1:86" ht="14.45" customHeight="1" x14ac:dyDescent="0.25">
      <c r="A31" s="24"/>
      <c r="B31" s="24" t="s">
        <v>15</v>
      </c>
      <c r="C31" s="24" t="s">
        <v>5</v>
      </c>
      <c r="D31" s="24"/>
      <c r="E31" s="24"/>
      <c r="F31" s="27">
        <f>Tabelle2!B11</f>
        <v>68.53</v>
      </c>
      <c r="G31" s="27"/>
      <c r="H31" s="24"/>
      <c r="I31" s="24"/>
      <c r="J31" s="16"/>
      <c r="K31" s="24"/>
      <c r="L31" s="24" t="s">
        <v>15</v>
      </c>
      <c r="M31" s="24"/>
      <c r="N31" s="29">
        <f>MAX(MIN((C18/12*J16),Tabelle2!D43),Tabelle2!F43)</f>
        <v>147</v>
      </c>
      <c r="O31" s="24"/>
    </row>
    <row r="32" spans="1:86" ht="6" customHeight="1" x14ac:dyDescent="0.25">
      <c r="A32" s="24"/>
      <c r="B32" s="24"/>
      <c r="C32" s="24"/>
      <c r="D32" s="24"/>
      <c r="E32" s="24"/>
      <c r="F32" s="27"/>
      <c r="G32" s="27"/>
      <c r="H32" s="24"/>
      <c r="I32" s="24"/>
      <c r="J32" s="16"/>
      <c r="K32" s="24"/>
      <c r="L32" s="24"/>
      <c r="M32" s="24"/>
      <c r="N32" s="29"/>
      <c r="O32" s="24"/>
    </row>
    <row r="33" spans="1:15" ht="21" customHeight="1" x14ac:dyDescent="0.25">
      <c r="A33" s="24"/>
      <c r="B33" s="24" t="s">
        <v>61</v>
      </c>
      <c r="C33" s="39" t="s">
        <v>18</v>
      </c>
      <c r="D33" s="45" t="s">
        <v>63</v>
      </c>
      <c r="E33" s="24"/>
      <c r="F33" s="27">
        <f>VLOOKUP(C33,Tabelle2!$A$65:$B$68,2,FALSE)</f>
        <v>0</v>
      </c>
      <c r="G33" s="27"/>
      <c r="H33" s="24"/>
      <c r="I33" s="24"/>
      <c r="J33" s="16"/>
      <c r="K33" s="24"/>
      <c r="L33" s="24"/>
      <c r="M33" s="24"/>
      <c r="N33" s="29"/>
      <c r="O33" s="24"/>
    </row>
    <row r="34" spans="1:15" ht="6" customHeight="1" x14ac:dyDescent="0.25">
      <c r="A34" s="24"/>
      <c r="B34" s="24"/>
      <c r="C34" s="36"/>
      <c r="D34" s="24"/>
      <c r="E34" s="24"/>
      <c r="F34" s="27"/>
      <c r="G34" s="27"/>
      <c r="H34" s="24"/>
      <c r="I34" s="24"/>
      <c r="J34" s="16"/>
      <c r="K34" s="24"/>
      <c r="L34" s="24"/>
      <c r="M34" s="24"/>
      <c r="N34" s="29"/>
      <c r="O34" s="24"/>
    </row>
    <row r="35" spans="1:15" ht="21" customHeight="1" x14ac:dyDescent="0.25">
      <c r="A35" s="24"/>
      <c r="B35" s="24" t="s">
        <v>62</v>
      </c>
      <c r="C35" s="39" t="s">
        <v>18</v>
      </c>
      <c r="D35" s="45" t="s">
        <v>63</v>
      </c>
      <c r="E35" s="39"/>
      <c r="F35" s="27">
        <f>VLOOKUP(C35,Tabelle2!$A$67:$B$68,2,FALSE)</f>
        <v>0</v>
      </c>
      <c r="G35" s="27"/>
      <c r="H35" s="24"/>
      <c r="I35" s="24"/>
      <c r="J35" s="16"/>
      <c r="K35" s="24"/>
      <c r="L35" s="24"/>
      <c r="M35" s="24"/>
      <c r="N35" s="29"/>
      <c r="O35" s="24"/>
    </row>
    <row r="36" spans="1:15" ht="6" customHeight="1" x14ac:dyDescent="0.25">
      <c r="A36" s="24"/>
      <c r="B36" s="24"/>
      <c r="C36" s="36"/>
      <c r="D36" s="24"/>
      <c r="E36" s="24"/>
      <c r="F36" s="27"/>
      <c r="G36" s="27"/>
      <c r="H36" s="24"/>
      <c r="I36" s="24"/>
      <c r="J36" s="16"/>
      <c r="K36" s="24"/>
      <c r="L36" s="24"/>
      <c r="M36" s="24"/>
      <c r="N36" s="29"/>
      <c r="O36" s="24"/>
    </row>
    <row r="37" spans="1:15" ht="21" customHeight="1" x14ac:dyDescent="0.25">
      <c r="A37" s="24"/>
      <c r="B37" s="24" t="s">
        <v>19</v>
      </c>
      <c r="C37" s="39" t="s">
        <v>4</v>
      </c>
      <c r="D37" s="45" t="s">
        <v>63</v>
      </c>
      <c r="E37" s="24"/>
      <c r="F37" s="27">
        <f>VLOOKUP(C37,Tabelle2!$A$36:$B$37,2,FALSE)</f>
        <v>40.204999999999998</v>
      </c>
      <c r="G37" s="27"/>
      <c r="H37" s="24"/>
      <c r="I37" s="24"/>
      <c r="J37" s="16"/>
      <c r="K37" s="24"/>
      <c r="L37" s="24"/>
      <c r="M37" s="24"/>
      <c r="N37" s="29"/>
      <c r="O37" s="24"/>
    </row>
    <row r="38" spans="1:15" ht="6" customHeight="1" x14ac:dyDescent="0.25">
      <c r="A38" s="24"/>
      <c r="B38" s="24"/>
      <c r="C38" s="36"/>
      <c r="D38" s="24"/>
      <c r="E38" s="24"/>
      <c r="F38" s="27"/>
      <c r="G38" s="27"/>
      <c r="H38" s="24"/>
      <c r="I38" s="24"/>
      <c r="J38" s="16"/>
      <c r="K38" s="24"/>
      <c r="L38" s="24"/>
      <c r="M38" s="24"/>
      <c r="N38" s="29"/>
      <c r="O38" s="24"/>
    </row>
    <row r="39" spans="1:15" ht="21" customHeight="1" x14ac:dyDescent="0.25">
      <c r="A39" s="24"/>
      <c r="B39" s="24" t="s">
        <v>20</v>
      </c>
      <c r="C39" s="39" t="s">
        <v>18</v>
      </c>
      <c r="D39" s="45" t="s">
        <v>63</v>
      </c>
      <c r="E39" s="33">
        <f>IF(E20&lt;&gt;"",E20,Tabelle2!L2)</f>
        <v>95</v>
      </c>
      <c r="F39" s="27">
        <f>VLOOKUP(C39,Tabelle2!$A$16:$B$19,2,FALSE)</f>
        <v>0</v>
      </c>
      <c r="G39" s="27"/>
      <c r="H39" s="24"/>
      <c r="I39" s="24"/>
      <c r="J39" s="16"/>
      <c r="K39" s="24"/>
      <c r="L39" s="24"/>
      <c r="M39" s="24"/>
      <c r="N39" s="29"/>
      <c r="O39" s="24"/>
    </row>
    <row r="40" spans="1:15" ht="6" customHeight="1" x14ac:dyDescent="0.25">
      <c r="A40" s="24"/>
      <c r="B40" s="24"/>
      <c r="C40" s="24"/>
      <c r="D40" s="24"/>
      <c r="E40" s="24"/>
      <c r="F40" s="27"/>
      <c r="G40" s="27"/>
      <c r="H40" s="24"/>
      <c r="I40" s="24"/>
      <c r="J40" s="16"/>
      <c r="K40" s="24"/>
      <c r="L40" s="24"/>
      <c r="M40" s="24"/>
      <c r="N40" s="29"/>
      <c r="O40" s="24"/>
    </row>
    <row r="41" spans="1:15" ht="21" customHeight="1" x14ac:dyDescent="0.25">
      <c r="A41" s="24"/>
      <c r="B41" s="24" t="s">
        <v>273</v>
      </c>
      <c r="C41" s="39" t="s">
        <v>18</v>
      </c>
      <c r="D41" s="45" t="s">
        <v>63</v>
      </c>
      <c r="E41" s="24"/>
      <c r="F41" s="27">
        <f>VLOOKUP(C41,Tabelle2!$A$38:$B$40,2,FALSE)</f>
        <v>0</v>
      </c>
      <c r="G41" s="27"/>
      <c r="H41" s="24"/>
      <c r="I41" s="24"/>
      <c r="J41" s="16"/>
      <c r="K41" s="24"/>
      <c r="L41" s="24"/>
      <c r="M41" s="24"/>
      <c r="N41" s="29"/>
      <c r="O41" s="24"/>
    </row>
    <row r="42" spans="1:15" ht="6" customHeight="1" x14ac:dyDescent="0.25">
      <c r="A42" s="24"/>
      <c r="B42" s="24"/>
      <c r="C42" s="24"/>
      <c r="D42" s="24"/>
      <c r="E42" s="24"/>
      <c r="F42" s="27"/>
      <c r="G42" s="27"/>
      <c r="H42" s="24"/>
      <c r="I42" s="24"/>
      <c r="J42" s="16"/>
      <c r="K42" s="24"/>
      <c r="L42" s="24"/>
      <c r="M42" s="24"/>
      <c r="N42" s="29"/>
      <c r="O42" s="24"/>
    </row>
    <row r="43" spans="1:15" ht="22.9" customHeight="1" x14ac:dyDescent="0.25">
      <c r="A43" s="24"/>
      <c r="B43" s="24" t="s">
        <v>314</v>
      </c>
      <c r="C43" s="39" t="s">
        <v>18</v>
      </c>
      <c r="D43" s="45" t="s">
        <v>63</v>
      </c>
      <c r="E43" s="85"/>
      <c r="F43" s="27">
        <f>VLOOKUP(C43,Tabelle2!$A$23:$B$24,2,FALSE)</f>
        <v>0</v>
      </c>
      <c r="G43" s="27"/>
      <c r="H43" s="24"/>
      <c r="I43" s="24"/>
      <c r="J43" s="16"/>
      <c r="K43" s="24"/>
      <c r="L43" s="24"/>
      <c r="M43" s="24"/>
      <c r="N43" s="29"/>
      <c r="O43" s="24"/>
    </row>
    <row r="44" spans="1:15" ht="22.9" customHeight="1" x14ac:dyDescent="0.25">
      <c r="A44" s="24"/>
      <c r="B44" s="24"/>
      <c r="C44" s="24" t="str">
        <f>IF(C10="angestellt","AG-Zuschuss",IF(C10="selbständig","",""))</f>
        <v/>
      </c>
      <c r="D44" s="24"/>
      <c r="E44" s="24"/>
      <c r="F44" s="59" t="str">
        <f>IF(C10="angestellt",Tabelle2!I4+Tabelle2!J4,"")</f>
        <v/>
      </c>
      <c r="G44" s="27"/>
      <c r="H44" s="59" t="str">
        <f>IF(H29="","",F44)</f>
        <v/>
      </c>
      <c r="I44" s="24"/>
      <c r="J44" s="16"/>
      <c r="K44" s="24"/>
      <c r="L44" s="24" t="str">
        <f>IF(C10="angestellt","AG-Zuschuss",IF(C10="selbständig","",""))</f>
        <v/>
      </c>
      <c r="M44" s="24"/>
      <c r="N44" s="29" t="str">
        <f>IF(C10="angestellt",(N29+N31)/2,IF(C10="selbständig","",""))</f>
        <v/>
      </c>
      <c r="O44" s="24"/>
    </row>
    <row r="45" spans="1:15" ht="6" customHeight="1" x14ac:dyDescent="0.25">
      <c r="A45" s="24"/>
      <c r="B45" s="24"/>
      <c r="C45" s="24"/>
      <c r="D45" s="24"/>
      <c r="E45" s="24"/>
      <c r="F45" s="27"/>
      <c r="G45" s="27"/>
      <c r="H45" s="24"/>
      <c r="I45" s="24"/>
      <c r="J45" s="16"/>
      <c r="K45" s="24"/>
      <c r="L45" s="24"/>
      <c r="M45" s="24"/>
      <c r="N45" s="29"/>
      <c r="O45" s="24"/>
    </row>
    <row r="46" spans="1:15" ht="21" customHeight="1" x14ac:dyDescent="0.25">
      <c r="A46" s="24"/>
      <c r="B46" s="24"/>
      <c r="C46" s="24" t="s">
        <v>281</v>
      </c>
      <c r="D46" s="24"/>
      <c r="E46" s="24"/>
      <c r="F46" s="31">
        <f>F29+F31+F33+F35+F37+F39+F41+F43-IF(ISNUMBER(F44),F44,0)</f>
        <v>424.11599999999993</v>
      </c>
      <c r="G46" s="31"/>
      <c r="H46" s="31" t="str">
        <f>IF(ISNUMBER(H29),H29+F31+F33+F35+F37+F39+F41-IF(ISNUMBER(F44),F44,0),"")</f>
        <v/>
      </c>
      <c r="I46" s="24"/>
      <c r="J46" s="16"/>
      <c r="K46" s="24"/>
      <c r="L46" s="24" t="s">
        <v>281</v>
      </c>
      <c r="M46" s="24"/>
      <c r="N46" s="31">
        <f>IF(C10="angestellt",(N29+N31)/2,IF(C10="selbständig",N48,""))</f>
        <v>773.15</v>
      </c>
      <c r="O46" s="24"/>
    </row>
    <row r="47" spans="1:15" ht="6" customHeight="1" x14ac:dyDescent="0.25">
      <c r="A47" s="24"/>
      <c r="B47" s="24"/>
      <c r="C47" s="24"/>
      <c r="D47" s="24"/>
      <c r="E47" s="24"/>
      <c r="F47" s="31"/>
      <c r="G47" s="31"/>
      <c r="H47" s="24"/>
      <c r="I47" s="24"/>
      <c r="J47" s="16"/>
      <c r="K47" s="24"/>
      <c r="L47" s="24"/>
      <c r="M47" s="24"/>
      <c r="N47" s="30"/>
      <c r="O47" s="24"/>
    </row>
    <row r="48" spans="1:15" ht="21" customHeight="1" x14ac:dyDescent="0.25">
      <c r="A48" s="24"/>
      <c r="B48" s="24"/>
      <c r="C48" s="24" t="s">
        <v>251</v>
      </c>
      <c r="D48" s="24"/>
      <c r="E48" s="24"/>
      <c r="F48" s="31">
        <f>F29+F31+F33+F35+F37+F39+F41+F43</f>
        <v>424.11599999999993</v>
      </c>
      <c r="G48" s="31"/>
      <c r="H48" s="31" t="str">
        <f>IF(ISNUMBER(H29),H29+F31+F33+F35+F37+F39+F41,"")</f>
        <v/>
      </c>
      <c r="I48" s="24"/>
      <c r="J48" s="16"/>
      <c r="K48" s="24"/>
      <c r="L48" s="24" t="s">
        <v>251</v>
      </c>
      <c r="M48" s="24"/>
      <c r="N48" s="30">
        <f>N29+N31</f>
        <v>773.15</v>
      </c>
      <c r="O48" s="24"/>
    </row>
    <row r="49" spans="1:97" ht="22.15" customHeight="1" x14ac:dyDescent="0.25">
      <c r="A49" s="24"/>
      <c r="B49" s="24"/>
      <c r="C49" s="52"/>
      <c r="D49" s="52"/>
      <c r="E49" s="52"/>
      <c r="F49" s="54">
        <f>IF(OR(C29="KVS3 + EKV2",C29="KVS3",C29="KVT1000"),1000,
    IF(OR(C29="KVS1 + EKV2",C29="KVS1"),500,""))</f>
        <v>1000</v>
      </c>
      <c r="G49" s="24"/>
      <c r="H49" s="24"/>
      <c r="I49" s="24"/>
      <c r="J49" s="16"/>
      <c r="K49" s="24"/>
      <c r="L49" s="52" t="s">
        <v>234</v>
      </c>
      <c r="M49" s="52"/>
      <c r="N49" s="53">
        <f>C18*2%</f>
        <v>840</v>
      </c>
      <c r="O49" s="24"/>
    </row>
    <row r="50" spans="1:97" ht="6" customHeight="1" x14ac:dyDescent="0.25"/>
    <row r="51" spans="1:97" s="24" customFormat="1" ht="6" customHeight="1" x14ac:dyDescent="0.25">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row>
    <row r="52" spans="1:97" ht="21" customHeight="1" x14ac:dyDescent="0.25">
      <c r="A52" s="24"/>
      <c r="B52" s="24"/>
      <c r="C52" s="26" t="s">
        <v>265</v>
      </c>
      <c r="D52" s="24"/>
      <c r="E52" s="24"/>
      <c r="F52" s="31">
        <f>IF(C10="selbständig",
    IF(H52="nein",MAX(0,N48-F48),IF(ISNUMBER(H48),MAX(0,N48-H48),MAX(0,N48-F48))),
    IF(C10="angestellt",
        IF(H52="nein",MAX(0,N46-F46),IF(ISNUMBER(H46),MAX(0,N46-H46),MAX(0,N46-F46))),
        ""
    )
)</f>
        <v>349.03400000000005</v>
      </c>
      <c r="G52" s="24"/>
      <c r="H52" s="39" t="s">
        <v>253</v>
      </c>
      <c r="I52" s="24"/>
      <c r="J52" s="138" t="s">
        <v>304</v>
      </c>
      <c r="K52" s="139"/>
      <c r="L52" s="139"/>
      <c r="M52" s="139"/>
      <c r="N52" s="139"/>
      <c r="O52" s="139"/>
    </row>
    <row r="53" spans="1:97" ht="6" customHeight="1" x14ac:dyDescent="0.25">
      <c r="A53" s="24"/>
      <c r="B53" s="24"/>
      <c r="C53" s="24"/>
      <c r="D53" s="24"/>
      <c r="E53" s="24"/>
      <c r="F53" s="24"/>
      <c r="G53" s="24"/>
      <c r="H53" s="24"/>
      <c r="I53" s="24"/>
      <c r="J53" s="139"/>
      <c r="K53" s="139"/>
      <c r="L53" s="139"/>
      <c r="M53" s="139"/>
      <c r="N53" s="139"/>
      <c r="O53" s="139"/>
    </row>
    <row r="54" spans="1:97" ht="24" customHeight="1" x14ac:dyDescent="0.25">
      <c r="A54" s="16"/>
      <c r="B54" s="16"/>
      <c r="C54" s="16"/>
      <c r="D54" s="16"/>
      <c r="E54" s="16"/>
      <c r="F54" s="19"/>
      <c r="G54" s="19"/>
      <c r="H54" s="16"/>
      <c r="I54" s="16"/>
      <c r="J54" s="16"/>
      <c r="K54" s="16"/>
      <c r="L54" s="16"/>
      <c r="M54" s="16"/>
      <c r="N54" s="16"/>
      <c r="O54" s="16"/>
    </row>
    <row r="55" spans="1:97" ht="22.9" customHeight="1" x14ac:dyDescent="0.25">
      <c r="A55" s="24"/>
      <c r="B55" s="32" t="s">
        <v>66</v>
      </c>
      <c r="C55" s="24"/>
      <c r="D55" s="24"/>
      <c r="E55" s="24"/>
      <c r="F55" s="24"/>
      <c r="G55" s="24"/>
      <c r="H55" s="24"/>
      <c r="I55" s="24"/>
      <c r="J55" s="24"/>
      <c r="K55" s="24"/>
      <c r="L55" s="144" t="s">
        <v>64</v>
      </c>
      <c r="M55" s="144"/>
      <c r="N55" s="144"/>
      <c r="O55" s="144"/>
    </row>
    <row r="56" spans="1:97" ht="34.5" customHeight="1" x14ac:dyDescent="0.25">
      <c r="A56" s="24"/>
      <c r="B56" s="138" t="s">
        <v>331</v>
      </c>
      <c r="C56" s="139"/>
      <c r="D56" s="139"/>
      <c r="E56" s="139"/>
      <c r="F56" s="139"/>
      <c r="G56" s="139"/>
      <c r="H56" s="139"/>
      <c r="I56" s="139"/>
      <c r="J56" s="139"/>
      <c r="K56" s="139"/>
      <c r="L56" s="24"/>
      <c r="M56" s="24"/>
      <c r="N56" s="24"/>
      <c r="O56" s="24"/>
    </row>
    <row r="57" spans="1:97" ht="42" customHeight="1" x14ac:dyDescent="0.25">
      <c r="A57" s="24"/>
      <c r="B57" s="26" t="s">
        <v>67</v>
      </c>
      <c r="C57" s="24"/>
      <c r="D57" s="24"/>
      <c r="E57" s="24"/>
      <c r="F57" s="24"/>
      <c r="G57" s="24"/>
      <c r="H57" s="24"/>
      <c r="I57" s="24"/>
      <c r="J57" s="24"/>
      <c r="K57" s="24"/>
      <c r="L57" s="24"/>
      <c r="M57" s="24"/>
      <c r="N57" s="24"/>
      <c r="O57" s="24"/>
    </row>
    <row r="58" spans="1:97" ht="61.9" customHeight="1" x14ac:dyDescent="0.25">
      <c r="A58" s="24" t="s">
        <v>37</v>
      </c>
      <c r="B58" s="138" t="s">
        <v>332</v>
      </c>
      <c r="C58" s="139"/>
      <c r="D58" s="139"/>
      <c r="E58" s="139"/>
      <c r="F58" s="139"/>
      <c r="G58" s="139"/>
      <c r="H58" s="139"/>
      <c r="I58" s="139"/>
      <c r="J58" s="139"/>
      <c r="K58" s="139"/>
      <c r="L58" s="24"/>
      <c r="M58" s="24"/>
      <c r="N58" s="24"/>
      <c r="O58" s="24"/>
    </row>
    <row r="59" spans="1:97" ht="26.25" customHeight="1" x14ac:dyDescent="0.25">
      <c r="A59" s="24"/>
      <c r="B59" s="24"/>
      <c r="C59" s="24"/>
      <c r="D59" s="24"/>
      <c r="E59" s="28" t="s">
        <v>33</v>
      </c>
      <c r="F59" s="28" t="s">
        <v>25</v>
      </c>
      <c r="G59" s="28"/>
      <c r="H59" s="24"/>
      <c r="I59" s="24"/>
      <c r="J59" s="24"/>
      <c r="K59" s="24"/>
      <c r="L59" s="26" t="s">
        <v>306</v>
      </c>
      <c r="M59" s="24"/>
      <c r="N59" s="24"/>
      <c r="O59" s="24"/>
    </row>
    <row r="60" spans="1:97" ht="21" customHeight="1" x14ac:dyDescent="0.25">
      <c r="A60" s="24"/>
      <c r="B60" s="24" t="s">
        <v>46</v>
      </c>
      <c r="C60" s="39" t="s">
        <v>83</v>
      </c>
      <c r="D60" s="45" t="s">
        <v>63</v>
      </c>
      <c r="E60" s="24">
        <f>IF(VLOOKUP(C60,Tabelle2!$A$49:$B$53,2,FALSE)&lt;=0,0,VLOOKUP(C60,Tabelle2!$A$49:$B$53,2,FALSE))</f>
        <v>430</v>
      </c>
      <c r="F60" s="31">
        <f>IF(VLOOKUP(C60,Tabelle2!$A$49:$C$53,3,FALSE)&lt;=0,0,VLOOKUP(C60,Tabelle2!$A$49:$C$53,3,FALSE))</f>
        <v>134.16</v>
      </c>
      <c r="G60" s="31"/>
      <c r="H60" s="24"/>
      <c r="I60" s="24"/>
      <c r="J60" s="24"/>
      <c r="K60" s="24"/>
      <c r="L60" s="24" t="s">
        <v>307</v>
      </c>
      <c r="M60" s="24"/>
      <c r="N60" s="51"/>
      <c r="O60" s="45" t="s">
        <v>63</v>
      </c>
    </row>
    <row r="61" spans="1:97" ht="21" customHeight="1" x14ac:dyDescent="0.25">
      <c r="A61" s="24"/>
      <c r="B61" s="24"/>
      <c r="C61" s="24"/>
      <c r="D61" s="24"/>
      <c r="E61" s="24"/>
      <c r="F61" s="24"/>
      <c r="G61" s="24"/>
      <c r="H61" s="24"/>
      <c r="I61" s="24"/>
      <c r="J61" s="24"/>
      <c r="K61" s="24"/>
      <c r="L61" s="24"/>
      <c r="M61" s="24"/>
      <c r="N61" s="24"/>
      <c r="O61" s="24"/>
    </row>
    <row r="62" spans="1:97" ht="21" customHeight="1" x14ac:dyDescent="0.25">
      <c r="A62" s="86"/>
      <c r="B62" s="87" t="s">
        <v>75</v>
      </c>
      <c r="C62" s="86"/>
      <c r="D62" s="86"/>
      <c r="E62" s="86"/>
      <c r="F62" s="86"/>
      <c r="G62" s="86"/>
      <c r="H62" s="86"/>
      <c r="I62" s="86"/>
      <c r="J62" s="86"/>
      <c r="K62" s="86"/>
      <c r="L62" s="86"/>
      <c r="M62" s="86"/>
      <c r="N62" s="86"/>
      <c r="O62" s="86"/>
    </row>
    <row r="63" spans="1:97" ht="45.6" customHeight="1" x14ac:dyDescent="0.25">
      <c r="A63" s="86"/>
      <c r="B63" s="153" t="s">
        <v>65</v>
      </c>
      <c r="C63" s="154"/>
      <c r="D63" s="154"/>
      <c r="E63" s="154"/>
      <c r="F63" s="154"/>
      <c r="G63" s="154"/>
      <c r="H63" s="154"/>
      <c r="I63" s="154"/>
      <c r="J63" s="154"/>
      <c r="K63" s="154"/>
      <c r="L63" s="86"/>
      <c r="M63" s="86"/>
      <c r="N63" s="86"/>
      <c r="O63" s="86"/>
    </row>
    <row r="64" spans="1:97" ht="15.6" customHeight="1" x14ac:dyDescent="0.25">
      <c r="A64" s="86"/>
      <c r="B64" s="86"/>
      <c r="C64" s="86"/>
      <c r="D64" s="86"/>
      <c r="E64" s="88" t="s">
        <v>43</v>
      </c>
      <c r="F64" s="88" t="s">
        <v>25</v>
      </c>
      <c r="G64" s="88"/>
      <c r="H64" s="86"/>
      <c r="I64" s="86"/>
      <c r="J64" s="86"/>
      <c r="K64" s="86"/>
      <c r="L64" s="87" t="s">
        <v>306</v>
      </c>
      <c r="M64" s="86"/>
      <c r="N64" s="86"/>
      <c r="O64" s="86"/>
    </row>
    <row r="65" spans="1:86" ht="21" customHeight="1" x14ac:dyDescent="0.25">
      <c r="A65" s="86"/>
      <c r="B65" s="86" t="s">
        <v>47</v>
      </c>
      <c r="C65" s="37" t="s">
        <v>57</v>
      </c>
      <c r="D65" s="45" t="s">
        <v>63</v>
      </c>
      <c r="E65" s="90">
        <f>IF(Tabelle2!C1&gt;55,"",MAX(0, VLOOKUP(C65, Tabelle2!$A$58:$C$63, 3, FALSE)))</f>
        <v>640</v>
      </c>
      <c r="F65" s="132">
        <f>IF(Tabelle2!C1&gt;55,0,IF(ISNUMBER(VALUE(VLOOKUP(C65,Tabelle2!$A$58:$C$63,2,FALSE))),MAX(0,VALUE(VLOOKUP(C65,Tabelle2!$A$58:$C$63,2,FALSE))),""))</f>
        <v>214.87400000000005</v>
      </c>
      <c r="G65" s="86"/>
      <c r="H65" s="86"/>
      <c r="I65" s="86"/>
      <c r="J65" s="86"/>
      <c r="K65" s="86"/>
      <c r="L65" s="86" t="s">
        <v>307</v>
      </c>
      <c r="M65" s="86"/>
      <c r="N65" s="51"/>
      <c r="O65" s="45" t="s">
        <v>63</v>
      </c>
    </row>
    <row r="66" spans="1:86" ht="6" customHeight="1" x14ac:dyDescent="0.25">
      <c r="A66" s="86"/>
      <c r="B66" s="86"/>
      <c r="C66" s="86"/>
      <c r="D66" s="86"/>
      <c r="E66" s="90"/>
      <c r="F66" s="91"/>
      <c r="G66" s="86"/>
      <c r="H66" s="86"/>
      <c r="I66" s="86"/>
      <c r="J66" s="86"/>
      <c r="K66" s="86"/>
      <c r="L66" s="86"/>
      <c r="M66" s="86"/>
      <c r="N66" s="86"/>
      <c r="O66" s="86"/>
    </row>
    <row r="67" spans="1:86" ht="21" customHeight="1" x14ac:dyDescent="0.25">
      <c r="A67" s="86"/>
      <c r="B67" s="86"/>
      <c r="C67" s="87" t="str">
        <f>IF(Tabelle2!C1&gt;55,"bitte nutzen Sie in diesem Fall VENUS zur Berechnung","")</f>
        <v/>
      </c>
      <c r="D67" s="86"/>
      <c r="E67" s="86"/>
      <c r="F67" s="86"/>
      <c r="G67" s="86"/>
      <c r="H67" s="86"/>
      <c r="I67" s="86"/>
      <c r="J67" s="86"/>
      <c r="K67" s="86"/>
      <c r="L67" s="86" t="s">
        <v>25</v>
      </c>
      <c r="M67" s="86"/>
      <c r="N67" s="85"/>
      <c r="O67" s="45" t="s">
        <v>63</v>
      </c>
    </row>
    <row r="68" spans="1:86" ht="6" customHeight="1" x14ac:dyDescent="0.25">
      <c r="A68" s="86"/>
      <c r="B68" s="86"/>
      <c r="C68" s="86"/>
      <c r="D68" s="86"/>
      <c r="E68" s="86"/>
      <c r="F68" s="86"/>
      <c r="G68" s="86"/>
      <c r="H68" s="86"/>
      <c r="I68" s="86"/>
      <c r="J68" s="86"/>
      <c r="K68" s="86"/>
      <c r="L68" s="86"/>
      <c r="M68" s="86"/>
      <c r="N68" s="86"/>
      <c r="O68" s="86"/>
    </row>
    <row r="69" spans="1:86" s="20" customFormat="1" ht="21" customHeight="1" x14ac:dyDescent="0.25">
      <c r="A69" s="15"/>
      <c r="B69" s="15"/>
      <c r="C69" s="15"/>
      <c r="D69" s="15"/>
      <c r="E69" s="15"/>
      <c r="F69" s="15"/>
      <c r="G69" s="15"/>
      <c r="H69" s="15"/>
      <c r="I69" s="15"/>
      <c r="J69" s="15"/>
      <c r="K69" s="15"/>
      <c r="L69" s="15"/>
      <c r="M69" s="15"/>
      <c r="N69" s="15"/>
      <c r="O69" s="15"/>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row>
    <row r="70" spans="1:86" ht="21" customHeight="1" x14ac:dyDescent="0.25">
      <c r="A70" s="94"/>
      <c r="B70" s="96" t="s">
        <v>313</v>
      </c>
      <c r="C70" s="94"/>
      <c r="D70" s="94"/>
      <c r="E70" s="94"/>
      <c r="F70" s="94"/>
      <c r="G70" s="94"/>
      <c r="H70" s="94"/>
      <c r="I70" s="94"/>
      <c r="J70" s="94"/>
      <c r="K70" s="94"/>
      <c r="L70" s="144" t="s">
        <v>88</v>
      </c>
      <c r="M70" s="144"/>
      <c r="N70" s="144"/>
      <c r="O70" s="144"/>
    </row>
    <row r="71" spans="1:86" ht="24" customHeight="1" x14ac:dyDescent="0.25">
      <c r="A71" s="94"/>
      <c r="B71" s="94" t="s">
        <v>283</v>
      </c>
      <c r="C71" s="94"/>
      <c r="D71" s="94"/>
      <c r="E71" s="94"/>
      <c r="F71" s="94"/>
      <c r="G71" s="94"/>
      <c r="H71" s="94"/>
      <c r="I71" s="94"/>
      <c r="J71" s="94"/>
      <c r="K71" s="94"/>
      <c r="L71" s="94"/>
      <c r="M71" s="94"/>
      <c r="N71" s="94"/>
      <c r="O71" s="94"/>
    </row>
    <row r="72" spans="1:86" ht="14.45" customHeight="1" x14ac:dyDescent="0.25">
      <c r="A72" s="94"/>
      <c r="B72" s="94"/>
      <c r="C72" s="94"/>
      <c r="D72" s="94"/>
      <c r="E72" s="94"/>
      <c r="F72" s="94"/>
      <c r="G72" s="94"/>
      <c r="H72" s="94"/>
      <c r="I72" s="94"/>
      <c r="J72" s="94"/>
      <c r="K72" s="155" t="s">
        <v>330</v>
      </c>
      <c r="L72" s="147"/>
      <c r="M72" s="147"/>
      <c r="N72" s="147"/>
      <c r="O72" s="94"/>
    </row>
    <row r="73" spans="1:86" ht="12" customHeight="1" x14ac:dyDescent="0.25">
      <c r="A73" s="94"/>
      <c r="B73" s="94"/>
      <c r="C73" s="94"/>
      <c r="D73" s="94"/>
      <c r="E73" s="94"/>
      <c r="F73" s="94"/>
      <c r="G73" s="94"/>
      <c r="H73" s="94"/>
      <c r="I73" s="94"/>
      <c r="J73" s="94"/>
      <c r="K73" s="95"/>
      <c r="L73" s="95"/>
      <c r="M73" s="95"/>
      <c r="N73" s="94"/>
      <c r="O73" s="94"/>
    </row>
    <row r="74" spans="1:86" ht="21" customHeight="1" x14ac:dyDescent="0.25">
      <c r="A74" s="94"/>
      <c r="B74" s="94"/>
      <c r="C74" s="95" t="s">
        <v>60</v>
      </c>
      <c r="D74" s="95"/>
      <c r="E74" s="95"/>
      <c r="F74" s="131" t="s">
        <v>327</v>
      </c>
      <c r="G74" s="94"/>
      <c r="H74" s="94"/>
      <c r="I74" s="94"/>
      <c r="J74" s="94"/>
      <c r="K74" s="95" t="s">
        <v>329</v>
      </c>
      <c r="L74" s="95"/>
      <c r="M74" s="131" t="s">
        <v>328</v>
      </c>
      <c r="N74" s="94"/>
      <c r="O74" s="94"/>
    </row>
    <row r="75" spans="1:86" ht="21" customHeight="1" x14ac:dyDescent="0.25">
      <c r="A75" s="94"/>
      <c r="B75" s="94" t="s">
        <v>285</v>
      </c>
      <c r="C75" s="97">
        <f>IF(OR(H48="0",H48=""),F48,IF(AND(H52="ja",H48&lt;&gt;"0",H48&lt;&gt;""),H48,F48))</f>
        <v>424.11599999999993</v>
      </c>
      <c r="D75" s="94"/>
      <c r="E75" s="94"/>
      <c r="F75" s="94"/>
      <c r="G75" s="94"/>
      <c r="H75" s="94"/>
      <c r="I75" s="94"/>
      <c r="J75" s="94"/>
      <c r="K75" s="94"/>
      <c r="L75" s="94"/>
      <c r="M75" s="94"/>
      <c r="N75" s="94"/>
      <c r="O75" s="94"/>
    </row>
    <row r="76" spans="1:86" ht="21" customHeight="1" x14ac:dyDescent="0.25">
      <c r="A76" s="94"/>
      <c r="B76" s="94" t="s">
        <v>286</v>
      </c>
      <c r="C76" s="97">
        <f>F60</f>
        <v>134.16</v>
      </c>
      <c r="D76" s="94"/>
      <c r="E76" s="94"/>
      <c r="F76" s="94"/>
      <c r="G76" s="94"/>
      <c r="H76" s="94"/>
      <c r="I76" s="94"/>
      <c r="J76" s="94"/>
      <c r="K76" s="94"/>
      <c r="L76" s="94"/>
      <c r="M76" s="94"/>
      <c r="N76" s="94"/>
      <c r="O76" s="94"/>
    </row>
    <row r="77" spans="1:86" ht="21" customHeight="1" x14ac:dyDescent="0.25">
      <c r="A77" s="94"/>
      <c r="B77" s="150" t="s">
        <v>305</v>
      </c>
      <c r="C77" s="98">
        <f>IF(AND(H52="ja",H29=""),
    IF(C10="angestellt",(F48+F60)-(Tabelle2!I6+Tabelle2!J4),
    IF(C10="selbständig",F48+F60,"")),
IF(H52="nein",
    IF(C10="angestellt",(F48+F60)-(Tabelle2!I6+Tabelle2!J4),
    IF(C10="selbständig",F48+F60,"")),
IF(H52="ja",
    IF(C10="angestellt",(H48+F60)-(Tabelle2!I6+Tabelle2!J4),
    IF(C10="selbständig",H48+F60,"")),
"")))</f>
        <v>558.27599999999995</v>
      </c>
      <c r="D77" s="45" t="s">
        <v>63</v>
      </c>
      <c r="E77" s="94"/>
      <c r="F77" s="148">
        <f>(IF(AND(C10="selbständig", H52="nein"), Steuer!F33,
IF(AND(C10="selbständig", H52="ja", H29=""), Steuer!F33,
IF(AND(C10="selbständig", H52="ja"), Steuer!H33,
IF(AND(C10="angestellt", H52="nein"), Steuer!G35,
IF(AND(C10="angestellt", H52="ja", H29=""), Steuer!G35,
IF(AND(C10="angestellt", H52="ja"), Steuer!I35,
"")))))))*12</f>
        <v>5635.3082975488323</v>
      </c>
      <c r="G77" s="137"/>
      <c r="H77" s="94"/>
      <c r="I77" s="94"/>
      <c r="J77" s="94"/>
      <c r="K77" s="94"/>
      <c r="L77" s="94"/>
      <c r="M77" s="94"/>
      <c r="N77" s="94"/>
      <c r="O77" s="94"/>
    </row>
    <row r="78" spans="1:86" ht="6" customHeight="1" x14ac:dyDescent="0.25">
      <c r="A78" s="94"/>
      <c r="B78" s="139"/>
      <c r="C78" s="97"/>
      <c r="D78" s="94"/>
      <c r="E78" s="94"/>
      <c r="F78" s="97"/>
      <c r="G78" s="94"/>
      <c r="H78" s="94"/>
      <c r="I78" s="94"/>
      <c r="J78" s="94"/>
      <c r="K78" s="94"/>
      <c r="L78" s="94"/>
      <c r="M78" s="94"/>
      <c r="N78" s="94"/>
      <c r="O78" s="94"/>
    </row>
    <row r="79" spans="1:86" ht="21" customHeight="1" x14ac:dyDescent="0.25">
      <c r="A79" s="94"/>
      <c r="B79" s="94" t="s">
        <v>294</v>
      </c>
      <c r="C79" s="97">
        <f>F65</f>
        <v>214.87400000000005</v>
      </c>
      <c r="D79" s="94"/>
      <c r="E79" s="94"/>
      <c r="F79" s="148">
        <f>F65*12</f>
        <v>2578.4880000000007</v>
      </c>
      <c r="G79" s="137"/>
      <c r="H79" s="94"/>
      <c r="I79" s="94"/>
      <c r="J79" s="94"/>
      <c r="K79" s="94"/>
      <c r="L79" s="94"/>
      <c r="M79" s="94"/>
      <c r="N79" s="94"/>
      <c r="O79" s="94"/>
    </row>
    <row r="80" spans="1:86" ht="21" customHeight="1" x14ac:dyDescent="0.25">
      <c r="A80" s="94"/>
      <c r="B80" s="94" t="s">
        <v>284</v>
      </c>
      <c r="C80" s="98">
        <f>F46+F60+F65</f>
        <v>773.15</v>
      </c>
      <c r="D80" s="94"/>
      <c r="E80" s="94"/>
      <c r="F80" s="149">
        <f>F77+F79</f>
        <v>8213.7962975488335</v>
      </c>
      <c r="G80" s="137"/>
      <c r="H80" s="94"/>
      <c r="I80" s="94"/>
      <c r="J80" s="94"/>
      <c r="K80" s="146">
        <f>F80*Steuer!A17</f>
        <v>1581.3235192250736</v>
      </c>
      <c r="L80" s="147"/>
      <c r="M80" s="146">
        <f>F80*Steuer!B17</f>
        <v>2682.6992263519242</v>
      </c>
      <c r="N80" s="147"/>
      <c r="O80" s="94"/>
    </row>
    <row r="81" spans="1:15" ht="21" customHeight="1" x14ac:dyDescent="0.25">
      <c r="A81" s="94"/>
      <c r="B81" s="94"/>
      <c r="C81" s="94"/>
      <c r="D81" s="94"/>
      <c r="E81" s="94"/>
      <c r="F81" s="94"/>
      <c r="G81" s="94"/>
      <c r="H81" s="94"/>
      <c r="I81" s="94"/>
      <c r="J81" s="94"/>
      <c r="K81" s="94"/>
      <c r="L81" s="94"/>
      <c r="M81" s="94"/>
      <c r="N81" s="94"/>
      <c r="O81" s="94"/>
    </row>
    <row r="82" spans="1:15" ht="24" customHeight="1" x14ac:dyDescent="0.25">
      <c r="A82" s="22"/>
      <c r="B82" s="22"/>
      <c r="C82" s="22"/>
      <c r="D82" s="22"/>
      <c r="E82" s="22"/>
      <c r="F82" s="22"/>
      <c r="G82" s="22"/>
      <c r="H82" s="22"/>
      <c r="I82" s="22"/>
      <c r="J82" s="22"/>
      <c r="K82" s="22"/>
      <c r="L82" s="22"/>
      <c r="M82" s="22"/>
      <c r="N82" s="22"/>
      <c r="O82" s="22"/>
    </row>
    <row r="83" spans="1:15" ht="21" customHeight="1" x14ac:dyDescent="0.25">
      <c r="A83" s="24"/>
      <c r="B83" s="32" t="s">
        <v>300</v>
      </c>
      <c r="C83" s="24"/>
      <c r="D83" s="24"/>
      <c r="E83" s="24"/>
      <c r="F83" s="24"/>
      <c r="G83" s="24"/>
      <c r="H83" s="24"/>
      <c r="I83" s="24"/>
      <c r="J83" s="24"/>
      <c r="K83" s="24"/>
      <c r="L83" s="24"/>
      <c r="M83" s="24"/>
      <c r="N83" s="24"/>
      <c r="O83" s="24"/>
    </row>
    <row r="84" spans="1:15" ht="56.25" customHeight="1" x14ac:dyDescent="0.25">
      <c r="A84" s="24"/>
      <c r="B84" s="138" t="s">
        <v>293</v>
      </c>
      <c r="C84" s="138"/>
      <c r="D84" s="138"/>
      <c r="E84" s="138"/>
      <c r="F84" s="138"/>
      <c r="G84" s="138"/>
      <c r="H84" s="138"/>
      <c r="I84" s="138"/>
      <c r="J84" s="138"/>
      <c r="K84" s="138"/>
      <c r="L84" s="138"/>
      <c r="M84" s="138"/>
      <c r="N84" s="138"/>
      <c r="O84" s="138"/>
    </row>
    <row r="85" spans="1:15" ht="6" customHeight="1" x14ac:dyDescent="0.25">
      <c r="A85" s="24"/>
      <c r="B85" s="81"/>
      <c r="C85" s="81"/>
      <c r="D85" s="81"/>
      <c r="E85" s="81"/>
      <c r="F85" s="81"/>
      <c r="G85" s="81"/>
      <c r="H85" s="81"/>
      <c r="I85" s="81"/>
      <c r="J85" s="81"/>
      <c r="K85" s="81"/>
      <c r="L85" s="81"/>
      <c r="M85" s="81"/>
      <c r="N85" s="81"/>
      <c r="O85" s="81"/>
    </row>
    <row r="86" spans="1:15" ht="21" customHeight="1" x14ac:dyDescent="0.25">
      <c r="A86" s="24"/>
      <c r="B86" s="26" t="s">
        <v>17</v>
      </c>
      <c r="C86" s="24"/>
      <c r="D86" s="24"/>
      <c r="E86" s="28" t="s">
        <v>33</v>
      </c>
      <c r="F86" s="28" t="s">
        <v>25</v>
      </c>
      <c r="G86" s="28"/>
      <c r="H86" s="62"/>
      <c r="I86" s="24"/>
      <c r="J86" s="101" t="s">
        <v>310</v>
      </c>
      <c r="K86" s="101"/>
      <c r="L86" s="101"/>
      <c r="M86" s="101"/>
      <c r="N86" s="24"/>
      <c r="O86" s="24"/>
    </row>
    <row r="87" spans="1:15" ht="6" customHeight="1" x14ac:dyDescent="0.25">
      <c r="A87" s="24"/>
      <c r="B87" s="24"/>
      <c r="C87" s="24"/>
      <c r="D87" s="24"/>
      <c r="E87" s="24"/>
      <c r="F87" s="29"/>
      <c r="G87" s="24"/>
      <c r="H87" s="24"/>
      <c r="I87" s="24"/>
      <c r="J87" s="101"/>
      <c r="K87" s="101"/>
      <c r="L87" s="101"/>
      <c r="M87" s="101"/>
      <c r="N87" s="24"/>
      <c r="O87" s="24"/>
    </row>
    <row r="88" spans="1:15" ht="21" customHeight="1" x14ac:dyDescent="0.25">
      <c r="A88" s="24"/>
      <c r="B88" s="24" t="s">
        <v>16</v>
      </c>
      <c r="C88" s="24" t="str">
        <f>IF(C96="nicht gewünscht",C29,
IF(OR(C96="SBE 500",C96="SBE 1000"),
  IF(OR(AND(C96="SBE 1000",C29="KVS1"),AND(C96="SBE 1000",C29="KVS1 + EKV2")),
    IF(C29="KVS1 + EKV2","KVS3 + EKV2","KVS3"),
  IF(C29="KVP + EKV2","KVS3 + EKV2",
  IF(C29="KVP","KVS3",
  IF(C29="AZP + EGO2 + PS3","KVT1000",
  C29)))),
C29))</f>
        <v>KVS3 + EKV2</v>
      </c>
      <c r="D88" s="45" t="s">
        <v>63</v>
      </c>
      <c r="E88" s="24"/>
      <c r="F88" s="27">
        <f>IF(ISERROR(VLOOKUP(C88,Tabelle2!$A$2:$B$10,2,FALSE)),"",VLOOKUP(C88,Tabelle2!$A$2:$B$10,2,FALSE))</f>
        <v>286.71000000000004</v>
      </c>
      <c r="G88" s="24"/>
      <c r="H88" s="29"/>
      <c r="I88" s="24"/>
      <c r="J88" s="102">
        <f>F88 * (1 + M88) ^ (65 -Tabelle2!C1)</f>
        <v>441.52781282456317</v>
      </c>
      <c r="K88" s="101"/>
      <c r="L88" s="103" t="s">
        <v>312</v>
      </c>
      <c r="M88" s="105">
        <v>1.4999999999999999E-2</v>
      </c>
      <c r="N88" s="24"/>
      <c r="O88" s="24"/>
    </row>
    <row r="89" spans="1:15" ht="6" customHeight="1" x14ac:dyDescent="0.25">
      <c r="A89" s="24"/>
      <c r="B89" s="24"/>
      <c r="C89" s="24"/>
      <c r="D89" s="24"/>
      <c r="E89" s="24"/>
      <c r="F89" s="27"/>
      <c r="G89" s="27"/>
      <c r="H89" s="24"/>
      <c r="I89" s="24"/>
      <c r="J89" s="102"/>
      <c r="K89" s="101"/>
      <c r="L89" s="101"/>
      <c r="M89" s="101"/>
      <c r="N89" s="24"/>
      <c r="O89" s="24"/>
    </row>
    <row r="90" spans="1:15" ht="21" customHeight="1" x14ac:dyDescent="0.25">
      <c r="A90" s="24"/>
      <c r="B90" s="24" t="s">
        <v>15</v>
      </c>
      <c r="C90" s="24" t="s">
        <v>5</v>
      </c>
      <c r="D90" s="24"/>
      <c r="E90" s="24"/>
      <c r="F90" s="27">
        <f>Tabelle2!B11</f>
        <v>68.53</v>
      </c>
      <c r="G90" s="27"/>
      <c r="H90" s="24"/>
      <c r="I90" s="24"/>
      <c r="J90" s="102">
        <f>F90 * (1 + M88) ^ (65 -Tabelle2!C1)</f>
        <v>105.53486454210635</v>
      </c>
      <c r="K90" s="101"/>
      <c r="L90" s="145" t="s">
        <v>311</v>
      </c>
      <c r="M90" s="145"/>
      <c r="N90" s="24"/>
      <c r="O90" s="24"/>
    </row>
    <row r="91" spans="1:15" ht="6" customHeight="1" x14ac:dyDescent="0.25">
      <c r="A91" s="24"/>
      <c r="B91" s="24"/>
      <c r="C91" s="24"/>
      <c r="D91" s="24"/>
      <c r="E91" s="24"/>
      <c r="F91" s="27"/>
      <c r="G91" s="27"/>
      <c r="H91" s="24"/>
      <c r="I91" s="24"/>
      <c r="J91" s="102"/>
      <c r="K91" s="101"/>
      <c r="L91" s="145"/>
      <c r="M91" s="145"/>
      <c r="N91" s="24"/>
      <c r="O91" s="24"/>
    </row>
    <row r="92" spans="1:15" x14ac:dyDescent="0.25">
      <c r="A92" s="24"/>
      <c r="B92" s="24" t="s">
        <v>62</v>
      </c>
      <c r="C92" s="24" t="str">
        <f>C35</f>
        <v>nicht gewünscht</v>
      </c>
      <c r="D92" s="24"/>
      <c r="E92" s="24">
        <f>E35</f>
        <v>0</v>
      </c>
      <c r="F92" s="27">
        <f>VLOOKUP(C92,Tabelle2!$A$67:$B$68,2,FALSE)</f>
        <v>0</v>
      </c>
      <c r="G92" s="27"/>
      <c r="H92" s="24"/>
      <c r="I92" s="24"/>
      <c r="J92" s="102">
        <f>F92 * (1 + M88) ^ (65 -Tabelle2!C1)</f>
        <v>0</v>
      </c>
      <c r="K92" s="101"/>
      <c r="L92" s="145"/>
      <c r="M92" s="145"/>
      <c r="N92" s="24"/>
      <c r="O92" s="24"/>
    </row>
    <row r="93" spans="1:15" ht="6" customHeight="1" x14ac:dyDescent="0.25">
      <c r="A93" s="24"/>
      <c r="B93" s="24"/>
      <c r="C93" s="24"/>
      <c r="D93" s="24"/>
      <c r="E93" s="24"/>
      <c r="F93" s="27"/>
      <c r="G93" s="27"/>
      <c r="H93" s="24"/>
      <c r="I93" s="24"/>
      <c r="J93" s="102"/>
      <c r="K93" s="101"/>
      <c r="L93" s="145"/>
      <c r="M93" s="145"/>
      <c r="N93" s="24"/>
      <c r="O93" s="24"/>
    </row>
    <row r="94" spans="1:15" x14ac:dyDescent="0.25">
      <c r="A94" s="24"/>
      <c r="B94" s="24" t="s">
        <v>19</v>
      </c>
      <c r="C94" s="24" t="str">
        <f>C37</f>
        <v>PSV</v>
      </c>
      <c r="D94" s="24"/>
      <c r="E94" s="24"/>
      <c r="F94" s="27">
        <f>VLOOKUP(C94,Tabelle2!$A$14:$B$15,2,FALSE)</f>
        <v>36.549999999999997</v>
      </c>
      <c r="G94" s="27"/>
      <c r="H94" s="24"/>
      <c r="I94" s="24"/>
      <c r="J94" s="102">
        <f>F94 * (1 + M88) ^ (65 -Tabelle2!C1)</f>
        <v>56.286287742798578</v>
      </c>
      <c r="K94" s="101"/>
      <c r="L94" s="145"/>
      <c r="M94" s="145"/>
      <c r="N94" s="24"/>
      <c r="O94" s="24"/>
    </row>
    <row r="95" spans="1:15" ht="6" customHeight="1" x14ac:dyDescent="0.25">
      <c r="A95" s="24"/>
      <c r="B95" s="24"/>
      <c r="C95" s="24"/>
      <c r="D95" s="24"/>
      <c r="E95" s="24"/>
      <c r="F95" s="27"/>
      <c r="G95" s="27"/>
      <c r="H95" s="24"/>
      <c r="I95" s="24"/>
      <c r="J95" s="102"/>
      <c r="K95" s="101"/>
      <c r="L95" s="145"/>
      <c r="M95" s="145"/>
      <c r="N95" s="24"/>
      <c r="O95" s="24"/>
    </row>
    <row r="96" spans="1:15" x14ac:dyDescent="0.25">
      <c r="A96" s="24"/>
      <c r="B96" s="24" t="s">
        <v>273</v>
      </c>
      <c r="C96" s="24" t="str">
        <f>C41</f>
        <v>nicht gewünscht</v>
      </c>
      <c r="D96" s="24"/>
      <c r="E96" s="24"/>
      <c r="F96" s="27">
        <f>VLOOKUP(C96,Tabelle2!$A$20:$B$22,2,FALSE)</f>
        <v>0</v>
      </c>
      <c r="G96" s="27"/>
      <c r="H96" s="24"/>
      <c r="I96" s="24"/>
      <c r="J96" s="102">
        <f>F96 * (1 + M88) ^ (65 -Tabelle2!C1)</f>
        <v>0</v>
      </c>
      <c r="K96" s="101"/>
      <c r="L96" s="145"/>
      <c r="M96" s="145"/>
      <c r="N96" s="24"/>
      <c r="O96" s="24"/>
    </row>
    <row r="97" spans="1:15" ht="6" customHeight="1" x14ac:dyDescent="0.25">
      <c r="A97" s="24"/>
      <c r="B97" s="24"/>
      <c r="C97" s="24"/>
      <c r="D97" s="24"/>
      <c r="E97" s="24"/>
      <c r="F97" s="27"/>
      <c r="G97" s="27"/>
      <c r="H97" s="24"/>
      <c r="I97" s="24"/>
      <c r="J97" s="102"/>
      <c r="K97" s="101"/>
      <c r="L97" s="145"/>
      <c r="M97" s="145"/>
      <c r="N97" s="24"/>
      <c r="O97" s="24"/>
    </row>
    <row r="98" spans="1:15" ht="14.45" customHeight="1" x14ac:dyDescent="0.25">
      <c r="A98" s="24"/>
      <c r="B98" s="24" t="s">
        <v>314</v>
      </c>
      <c r="C98" s="24" t="str">
        <f>C43</f>
        <v>nicht gewünscht</v>
      </c>
      <c r="D98" s="24"/>
      <c r="E98" s="24"/>
      <c r="F98" s="27">
        <f>VLOOKUP(C98,Tabelle2!$A$23:$B$24,2,FALSE)</f>
        <v>0</v>
      </c>
      <c r="G98" s="27"/>
      <c r="H98" s="24"/>
      <c r="I98" s="24"/>
      <c r="J98" s="102">
        <f>F98 * (1 + M88) ^ (65 -Tabelle2!C1)</f>
        <v>0</v>
      </c>
      <c r="K98" s="101"/>
      <c r="L98" s="145"/>
      <c r="M98" s="145"/>
      <c r="N98" s="24"/>
      <c r="O98" s="24"/>
    </row>
    <row r="99" spans="1:15" ht="6" customHeight="1" x14ac:dyDescent="0.25">
      <c r="A99" s="24"/>
      <c r="B99" s="24"/>
      <c r="C99" s="24"/>
      <c r="D99" s="24"/>
      <c r="E99" s="24"/>
      <c r="F99" s="27"/>
      <c r="G99" s="27"/>
      <c r="H99" s="24"/>
      <c r="I99" s="24"/>
      <c r="J99" s="102"/>
      <c r="K99" s="101"/>
      <c r="L99" s="145"/>
      <c r="M99" s="145"/>
      <c r="N99" s="24"/>
      <c r="O99" s="24"/>
    </row>
    <row r="100" spans="1:15" x14ac:dyDescent="0.25">
      <c r="A100" s="24"/>
      <c r="B100" s="24" t="s">
        <v>277</v>
      </c>
      <c r="C100" s="24" t="s">
        <v>30</v>
      </c>
      <c r="D100" s="24"/>
      <c r="E100" s="24"/>
      <c r="F100" s="29">
        <f>F60</f>
        <v>134.16</v>
      </c>
      <c r="G100" s="27"/>
      <c r="H100" s="24"/>
      <c r="I100" s="24"/>
      <c r="J100" s="102">
        <f>F100</f>
        <v>134.16</v>
      </c>
      <c r="K100" s="101"/>
      <c r="L100" s="145"/>
      <c r="M100" s="145"/>
      <c r="N100" s="24"/>
      <c r="O100" s="24"/>
    </row>
    <row r="101" spans="1:15" ht="6" customHeight="1" x14ac:dyDescent="0.25">
      <c r="A101" s="24"/>
      <c r="B101" s="24"/>
      <c r="C101" s="24"/>
      <c r="D101" s="24"/>
      <c r="E101" s="24"/>
      <c r="F101" s="27"/>
      <c r="G101" s="27"/>
      <c r="H101" s="24"/>
      <c r="I101" s="24"/>
      <c r="J101" s="102"/>
      <c r="K101" s="101"/>
      <c r="L101" s="145"/>
      <c r="M101" s="145"/>
      <c r="N101" s="24"/>
      <c r="O101" s="24"/>
    </row>
    <row r="102" spans="1:15" x14ac:dyDescent="0.25">
      <c r="A102" s="24"/>
      <c r="B102" s="24"/>
      <c r="C102" s="24" t="s">
        <v>278</v>
      </c>
      <c r="D102" s="24"/>
      <c r="E102" s="24"/>
      <c r="F102" s="100">
        <f>E60</f>
        <v>430</v>
      </c>
      <c r="G102" s="27"/>
      <c r="H102" s="24"/>
      <c r="I102" s="24"/>
      <c r="J102" s="104">
        <f>F102</f>
        <v>430</v>
      </c>
      <c r="K102" s="101"/>
      <c r="L102" s="145"/>
      <c r="M102" s="145"/>
      <c r="N102" s="24"/>
      <c r="O102" s="24"/>
    </row>
    <row r="103" spans="1:15" ht="23.45" customHeight="1" x14ac:dyDescent="0.25">
      <c r="A103" s="24"/>
      <c r="B103" s="24"/>
      <c r="C103" s="24" t="str">
        <f>IF(C10="angestellt","max. mögl. Zuschuss des RV-Trägers","")</f>
        <v/>
      </c>
      <c r="D103" s="24"/>
      <c r="E103" s="24"/>
      <c r="F103" s="59">
        <f>IF(C10="angestellt",MAX(0,Tabelle2!G10-(F90/2)),0)</f>
        <v>0</v>
      </c>
      <c r="G103" s="27"/>
      <c r="H103" s="59"/>
      <c r="I103" s="24"/>
      <c r="J103" s="102">
        <f>IF(C10="angestellt",MAX(0,Tabelle2!H10-(J90/2)),0)</f>
        <v>0</v>
      </c>
      <c r="K103" s="101"/>
      <c r="L103" s="145"/>
      <c r="M103" s="145"/>
      <c r="N103" s="24"/>
      <c r="O103" s="24"/>
    </row>
    <row r="104" spans="1:15" ht="6" customHeight="1" x14ac:dyDescent="0.25">
      <c r="A104" s="24"/>
      <c r="B104" s="24"/>
      <c r="C104" s="24"/>
      <c r="D104" s="24"/>
      <c r="E104" s="24"/>
      <c r="F104" s="27"/>
      <c r="G104" s="27"/>
      <c r="H104" s="24"/>
      <c r="I104" s="24"/>
      <c r="J104" s="102"/>
      <c r="K104" s="101"/>
      <c r="L104" s="145"/>
      <c r="M104" s="145"/>
      <c r="N104" s="24"/>
      <c r="O104" s="24"/>
    </row>
    <row r="105" spans="1:15" x14ac:dyDescent="0.25">
      <c r="A105" s="24"/>
      <c r="B105" s="24"/>
      <c r="C105" s="26" t="s">
        <v>279</v>
      </c>
      <c r="D105" s="24"/>
      <c r="E105" s="24"/>
      <c r="F105" s="79">
        <f>IF((F88+F90+F92+F94+F96+F98+F100-F102-F103)&lt;=0,"0,00",F88+F90+F92+F94+F96+F98+F100-F102-F103)</f>
        <v>95.950000000000045</v>
      </c>
      <c r="G105" s="31"/>
      <c r="H105" s="31"/>
      <c r="I105" s="24"/>
      <c r="J105" s="106">
        <f>IF((J88+J90+J92+J94+J96+J98+J100-J102-J103)&lt;=0,"0,00",J88+J90+J92+J94+J96+J98+J100-J102-J103)</f>
        <v>307.50896510946802</v>
      </c>
      <c r="K105" s="101"/>
      <c r="L105" s="145"/>
      <c r="M105" s="145"/>
      <c r="N105" s="24"/>
      <c r="O105" s="24"/>
    </row>
    <row r="106" spans="1:15" x14ac:dyDescent="0.25">
      <c r="A106" s="24"/>
      <c r="B106" s="24"/>
      <c r="C106" s="52"/>
      <c r="D106" s="52"/>
      <c r="E106" s="52"/>
      <c r="F106" s="54">
        <f>IF(OR(C88="KVS3 + EKV2",C88="KVS3",C88="KVT1000"),1000,
    IF(OR(C88="KVS1 + EKV2",C88="KVS1"),500,""))</f>
        <v>1000</v>
      </c>
      <c r="G106" s="24"/>
      <c r="H106" s="24"/>
      <c r="I106" s="24"/>
      <c r="J106" s="24"/>
      <c r="K106" s="24"/>
      <c r="L106" s="24"/>
      <c r="M106" s="24"/>
      <c r="N106" s="24"/>
      <c r="O106" s="24"/>
    </row>
    <row r="107" spans="1:15" ht="24" customHeight="1" x14ac:dyDescent="0.25"/>
    <row r="108" spans="1:15" ht="21" customHeight="1" x14ac:dyDescent="0.25">
      <c r="A108" s="86"/>
      <c r="B108" s="92" t="s">
        <v>76</v>
      </c>
      <c r="C108" s="86"/>
      <c r="D108" s="86"/>
      <c r="E108" s="86"/>
      <c r="F108" s="86"/>
      <c r="G108" s="86"/>
      <c r="H108" s="86"/>
      <c r="I108" s="86"/>
      <c r="J108" s="86"/>
      <c r="K108" s="86"/>
      <c r="L108" s="144" t="s">
        <v>64</v>
      </c>
      <c r="M108" s="144"/>
      <c r="N108" s="144"/>
      <c r="O108" s="144"/>
    </row>
    <row r="109" spans="1:15" x14ac:dyDescent="0.25">
      <c r="A109" s="86"/>
      <c r="B109" s="86" t="s">
        <v>90</v>
      </c>
      <c r="C109" s="86"/>
      <c r="D109" s="86"/>
      <c r="E109" s="86"/>
      <c r="F109" s="86"/>
      <c r="G109" s="86"/>
      <c r="H109" s="86"/>
      <c r="I109" s="86"/>
      <c r="J109" s="86"/>
      <c r="K109" s="86"/>
      <c r="L109" s="86"/>
      <c r="M109" s="86"/>
      <c r="N109" s="86"/>
      <c r="O109" s="86"/>
    </row>
    <row r="110" spans="1:15" x14ac:dyDescent="0.25">
      <c r="A110" s="86"/>
      <c r="B110" s="86"/>
      <c r="C110" s="88" t="s">
        <v>89</v>
      </c>
      <c r="D110" s="87"/>
      <c r="E110" s="141" t="s">
        <v>85</v>
      </c>
      <c r="F110" s="137"/>
      <c r="G110" s="86"/>
      <c r="H110" s="86"/>
      <c r="I110" s="86"/>
      <c r="J110" s="86"/>
      <c r="K110" s="86"/>
      <c r="L110" s="86"/>
      <c r="M110" s="86"/>
      <c r="N110" s="86"/>
      <c r="O110" s="86"/>
    </row>
    <row r="111" spans="1:15" x14ac:dyDescent="0.25">
      <c r="A111" s="86"/>
      <c r="B111" s="86"/>
      <c r="C111" s="88" t="s">
        <v>77</v>
      </c>
      <c r="D111" s="87"/>
      <c r="E111" s="141" t="s">
        <v>82</v>
      </c>
      <c r="F111" s="137"/>
      <c r="G111" s="86"/>
      <c r="H111" s="86"/>
      <c r="I111" s="86"/>
      <c r="J111" s="86"/>
      <c r="K111" s="86"/>
      <c r="L111" s="86"/>
      <c r="M111" s="86"/>
      <c r="N111" s="86"/>
      <c r="O111" s="86"/>
    </row>
    <row r="112" spans="1:15" x14ac:dyDescent="0.25">
      <c r="A112" s="86"/>
      <c r="B112" s="86" t="s">
        <v>86</v>
      </c>
      <c r="C112" s="89">
        <f>K80</f>
        <v>1581.3235192250736</v>
      </c>
      <c r="D112" s="89"/>
      <c r="E112" s="86"/>
      <c r="F112" s="89">
        <f>M80</f>
        <v>2682.6992263519242</v>
      </c>
      <c r="G112" s="86"/>
      <c r="H112" s="86"/>
      <c r="I112" s="86"/>
      <c r="J112" s="86"/>
      <c r="K112" s="86"/>
      <c r="L112" s="86"/>
      <c r="M112" s="86"/>
      <c r="N112" s="86"/>
      <c r="O112" s="86"/>
    </row>
    <row r="113" spans="1:15" x14ac:dyDescent="0.25">
      <c r="A113" s="86"/>
      <c r="B113" s="86" t="s">
        <v>87</v>
      </c>
      <c r="C113" s="89">
        <f>K80/12</f>
        <v>131.77695993542281</v>
      </c>
      <c r="D113" s="89"/>
      <c r="E113" s="86"/>
      <c r="F113" s="89">
        <f>M80/12</f>
        <v>223.55826886266036</v>
      </c>
      <c r="G113" s="86"/>
      <c r="H113" s="86"/>
      <c r="I113" s="86"/>
      <c r="J113" s="86"/>
      <c r="K113" s="86"/>
      <c r="L113" s="86"/>
      <c r="M113" s="86"/>
      <c r="N113" s="86"/>
      <c r="O113" s="86"/>
    </row>
    <row r="114" spans="1:15" x14ac:dyDescent="0.25">
      <c r="A114" s="86"/>
      <c r="B114" s="86"/>
      <c r="C114" s="87" t="str">
        <f>IF(Tabelle2!C1&gt;55,"bitte nutzen Sie in diesem Fall VENUS zur Berechnung","")</f>
        <v/>
      </c>
      <c r="D114" s="89"/>
      <c r="E114" s="86"/>
      <c r="F114" s="89"/>
      <c r="G114" s="86"/>
      <c r="H114" s="86"/>
      <c r="I114" s="86"/>
      <c r="J114" s="86"/>
      <c r="K114" s="86"/>
      <c r="L114" s="86"/>
      <c r="M114" s="86"/>
      <c r="N114" s="86"/>
      <c r="O114" s="86"/>
    </row>
    <row r="115" spans="1:15" x14ac:dyDescent="0.25">
      <c r="A115" s="86"/>
      <c r="B115" s="87" t="str">
        <f>IF(Tabelle2!C1&gt;55,"","monatliche Rente")</f>
        <v>monatliche Rente</v>
      </c>
      <c r="C115" s="93">
        <f>Rentenberechnung!C9</f>
        <v>396.0899454581226</v>
      </c>
      <c r="D115" s="93"/>
      <c r="E115" s="86"/>
      <c r="F115" s="93">
        <f>Rentenberechnung!G9</f>
        <v>671.96255372651558</v>
      </c>
      <c r="G115" s="86"/>
      <c r="H115" s="86"/>
      <c r="I115" s="86"/>
      <c r="J115" s="86"/>
      <c r="K115" s="86"/>
      <c r="L115" s="86"/>
      <c r="M115" s="86"/>
      <c r="N115" s="86"/>
      <c r="O115" s="86"/>
    </row>
    <row r="116" spans="1:15" x14ac:dyDescent="0.25">
      <c r="A116" s="86"/>
      <c r="B116" s="87" t="str">
        <f>IF(Tabelle2!C1&gt;55,"","Kapitalauszahlung")</f>
        <v>Kapitalauszahlung</v>
      </c>
      <c r="C116" s="93">
        <f>Rentenberechnung!C11</f>
        <v>111677.53402903586</v>
      </c>
      <c r="D116" s="93"/>
      <c r="E116" s="86"/>
      <c r="F116" s="93">
        <f>Rentenberechnung!G11</f>
        <v>189459.79775688317</v>
      </c>
      <c r="G116" s="86"/>
      <c r="H116" s="86"/>
      <c r="I116" s="86"/>
      <c r="J116" s="86"/>
      <c r="K116" s="86"/>
      <c r="L116" s="86"/>
      <c r="M116" s="86"/>
      <c r="N116" s="86"/>
      <c r="O116" s="86"/>
    </row>
    <row r="117" spans="1:15" x14ac:dyDescent="0.25">
      <c r="A117" s="86"/>
      <c r="B117" s="86"/>
      <c r="C117" s="86"/>
      <c r="D117" s="86"/>
      <c r="E117" s="86"/>
      <c r="F117" s="86"/>
      <c r="G117" s="86"/>
      <c r="H117" s="86"/>
      <c r="I117" s="86"/>
      <c r="J117" s="86"/>
      <c r="K117" s="86"/>
      <c r="L117" s="86"/>
      <c r="M117" s="86"/>
      <c r="N117" s="86"/>
      <c r="O117" s="86"/>
    </row>
    <row r="118" spans="1:15" ht="24" customHeight="1" x14ac:dyDescent="0.25"/>
    <row r="119" spans="1:15" ht="21" customHeight="1" x14ac:dyDescent="0.25">
      <c r="A119" s="24"/>
      <c r="B119" s="32" t="s">
        <v>301</v>
      </c>
      <c r="C119" s="24"/>
      <c r="D119" s="24"/>
      <c r="E119" s="24"/>
      <c r="F119" s="24"/>
      <c r="G119" s="24"/>
      <c r="H119" s="24"/>
      <c r="I119" s="24"/>
      <c r="J119" s="24"/>
      <c r="K119" s="24"/>
      <c r="L119" s="24"/>
      <c r="M119" s="24"/>
      <c r="N119" s="24"/>
      <c r="O119" s="24"/>
    </row>
    <row r="120" spans="1:15" ht="44.45" customHeight="1" x14ac:dyDescent="0.25">
      <c r="A120" s="24"/>
      <c r="B120" s="135" t="s">
        <v>299</v>
      </c>
      <c r="C120" s="140"/>
      <c r="D120" s="140"/>
      <c r="E120" s="140"/>
      <c r="F120" s="140"/>
      <c r="G120" s="140"/>
      <c r="H120" s="140"/>
      <c r="I120" s="140"/>
      <c r="J120" s="140"/>
      <c r="K120" s="140"/>
      <c r="L120" s="140"/>
      <c r="M120" s="140"/>
      <c r="N120" s="140"/>
      <c r="O120" s="140"/>
    </row>
    <row r="121" spans="1:15" ht="21" customHeight="1" x14ac:dyDescent="0.25">
      <c r="A121" s="24"/>
      <c r="B121" s="136" t="s">
        <v>262</v>
      </c>
      <c r="C121" s="137"/>
      <c r="D121" s="35"/>
      <c r="E121" s="24"/>
      <c r="F121" s="24"/>
      <c r="G121" s="24"/>
      <c r="H121" s="24"/>
      <c r="I121" s="24"/>
      <c r="J121" s="24"/>
      <c r="K121" s="24"/>
      <c r="L121" s="24"/>
      <c r="M121" s="24"/>
      <c r="N121" s="24"/>
      <c r="O121" s="24"/>
    </row>
    <row r="122" spans="1:15" ht="21" customHeight="1" x14ac:dyDescent="0.25">
      <c r="A122" s="24"/>
      <c r="B122" s="24"/>
      <c r="C122" s="28" t="s">
        <v>10</v>
      </c>
      <c r="D122" s="26"/>
      <c r="E122" s="26"/>
      <c r="F122" s="26"/>
      <c r="G122" s="26" t="s">
        <v>259</v>
      </c>
      <c r="H122" s="26"/>
      <c r="I122" s="24"/>
      <c r="J122" s="24"/>
      <c r="K122" s="24"/>
      <c r="L122" s="24"/>
      <c r="M122" s="24"/>
      <c r="N122" s="24"/>
      <c r="O122" s="24"/>
    </row>
    <row r="123" spans="1:15" ht="21" customHeight="1" x14ac:dyDescent="0.25">
      <c r="A123" s="24"/>
      <c r="B123" s="64" t="s">
        <v>268</v>
      </c>
      <c r="C123" s="27">
        <f>N48</f>
        <v>773.15</v>
      </c>
      <c r="D123" s="24"/>
      <c r="E123" s="24"/>
      <c r="F123" s="27">
        <f>IF(H52="ja",IF(H48&lt;&gt;"",H48,F48),F48)</f>
        <v>424.11599999999993</v>
      </c>
      <c r="G123" s="24"/>
      <c r="H123" s="27">
        <f>IF(H52="ja",IF(H48&lt;&gt;"",H48,F48),F48)</f>
        <v>424.11599999999993</v>
      </c>
      <c r="I123" s="24"/>
      <c r="J123" s="24"/>
      <c r="K123" s="24"/>
      <c r="L123" s="24"/>
      <c r="M123" s="24"/>
      <c r="N123" s="24"/>
      <c r="O123" s="24"/>
    </row>
    <row r="124" spans="1:15" ht="21" customHeight="1" x14ac:dyDescent="0.25">
      <c r="A124" s="24"/>
      <c r="B124" s="64" t="s">
        <v>270</v>
      </c>
      <c r="C124" s="26"/>
      <c r="D124" s="26"/>
      <c r="E124" s="26"/>
      <c r="F124" s="28" t="s">
        <v>260</v>
      </c>
      <c r="G124" s="26"/>
      <c r="H124" s="28" t="s">
        <v>261</v>
      </c>
      <c r="I124" s="24"/>
      <c r="J124" s="24"/>
      <c r="K124" s="24"/>
      <c r="L124" s="24"/>
      <c r="M124" s="24"/>
      <c r="N124" s="24"/>
      <c r="O124" s="24"/>
    </row>
    <row r="125" spans="1:15" ht="21" customHeight="1" x14ac:dyDescent="0.25">
      <c r="A125" s="24"/>
      <c r="B125" s="64" t="s">
        <v>269</v>
      </c>
      <c r="C125" s="24">
        <v>0</v>
      </c>
      <c r="D125" s="24"/>
      <c r="E125" s="24"/>
      <c r="F125" s="24">
        <f>D121*Tabelle2!N2</f>
        <v>0</v>
      </c>
      <c r="G125" s="24"/>
      <c r="H125" s="24">
        <f>D121*Tabelle2!O2</f>
        <v>0</v>
      </c>
      <c r="I125" s="24"/>
      <c r="J125" s="24"/>
      <c r="K125" s="24"/>
      <c r="L125" s="24"/>
      <c r="M125" s="24"/>
      <c r="N125" s="24"/>
      <c r="O125" s="24"/>
    </row>
    <row r="126" spans="1:15" ht="21" customHeight="1" x14ac:dyDescent="0.25">
      <c r="A126" s="24"/>
      <c r="B126" s="64" t="s">
        <v>59</v>
      </c>
      <c r="C126" s="27">
        <f>N48</f>
        <v>773.15</v>
      </c>
      <c r="D126" s="24"/>
      <c r="E126" s="24"/>
      <c r="F126" s="27">
        <f>F123+F125</f>
        <v>424.11599999999993</v>
      </c>
      <c r="G126" s="24"/>
      <c r="H126" s="27">
        <f>H123+H125</f>
        <v>424.11599999999993</v>
      </c>
      <c r="I126" s="24"/>
      <c r="J126" s="24"/>
      <c r="K126" s="24"/>
      <c r="L126" s="24"/>
      <c r="M126" s="24"/>
      <c r="N126" s="24"/>
      <c r="O126" s="24"/>
    </row>
    <row r="127" spans="1:15" ht="21" customHeight="1" x14ac:dyDescent="0.25">
      <c r="A127" s="24"/>
      <c r="B127" s="64" t="str">
        <f>IF(C10="angestellt","Arbeitgeberzuschuss","")</f>
        <v/>
      </c>
      <c r="C127" s="27" t="str">
        <f>IF(B127="Arbeitgeberzuschuss",C126/2,"")</f>
        <v/>
      </c>
      <c r="D127" s="27"/>
      <c r="E127" s="27"/>
      <c r="F127" s="27" t="str">
        <f>IF(B127="Arbeitgeberzuschuss",F126/2,"")</f>
        <v/>
      </c>
      <c r="G127" s="27"/>
      <c r="H127" s="27" t="str">
        <f>IF(B127="Arbeitgeberzuschuss",H126/2,"")</f>
        <v/>
      </c>
      <c r="I127" s="24"/>
      <c r="J127" s="24"/>
      <c r="K127" s="24"/>
      <c r="L127" s="24"/>
      <c r="M127" s="24"/>
      <c r="N127" s="24"/>
      <c r="O127" s="24"/>
    </row>
    <row r="128" spans="1:15" ht="21" customHeight="1" x14ac:dyDescent="0.25">
      <c r="A128" s="24"/>
      <c r="B128" s="28" t="s">
        <v>265</v>
      </c>
      <c r="C128" s="26"/>
      <c r="D128" s="26"/>
      <c r="E128" s="26"/>
      <c r="F128" s="65">
        <f>IF(B127="Arbeitgeberzuschuss",C127-F127,IF(B127="",C126-F126,""))</f>
        <v>349.03400000000005</v>
      </c>
      <c r="G128" s="26"/>
      <c r="H128" s="65">
        <f>IF(B127="Arbeitgeberzuschuss",C127-H127,IF(B127="",C126-H126,""))</f>
        <v>349.03400000000005</v>
      </c>
      <c r="I128" s="24"/>
      <c r="J128" s="24"/>
      <c r="K128" s="24"/>
      <c r="L128" s="24"/>
      <c r="M128" s="24"/>
      <c r="N128" s="24"/>
      <c r="O128" s="24"/>
    </row>
    <row r="129" spans="1:15" x14ac:dyDescent="0.25">
      <c r="A129" s="24"/>
      <c r="B129" s="28"/>
      <c r="C129" s="26"/>
      <c r="D129" s="26"/>
      <c r="E129" s="26"/>
      <c r="F129" s="65"/>
      <c r="G129" s="26"/>
      <c r="H129" s="65"/>
      <c r="I129" s="24"/>
      <c r="J129" s="24"/>
      <c r="K129" s="24"/>
      <c r="L129" s="24"/>
      <c r="M129" s="24"/>
      <c r="N129" s="24"/>
      <c r="O129" s="24"/>
    </row>
    <row r="130" spans="1:15" ht="21" customHeight="1" x14ac:dyDescent="0.25">
      <c r="A130" s="24"/>
      <c r="B130" s="24"/>
      <c r="C130" s="24"/>
      <c r="D130" s="24"/>
      <c r="E130" s="24"/>
      <c r="F130" s="138" t="s">
        <v>302</v>
      </c>
      <c r="G130" s="139"/>
      <c r="H130" s="139"/>
      <c r="I130" s="139"/>
      <c r="J130" s="139"/>
      <c r="K130" s="139"/>
      <c r="L130" s="139"/>
      <c r="M130" s="24"/>
      <c r="N130" s="24"/>
      <c r="O130" s="24"/>
    </row>
    <row r="131" spans="1:15" ht="21" customHeight="1" x14ac:dyDescent="0.25">
      <c r="A131" s="24"/>
      <c r="B131" s="24"/>
      <c r="C131" s="24"/>
      <c r="D131" s="24"/>
      <c r="E131" s="24"/>
      <c r="F131" s="139"/>
      <c r="G131" s="139"/>
      <c r="H131" s="139"/>
      <c r="I131" s="139"/>
      <c r="J131" s="139"/>
      <c r="K131" s="139"/>
      <c r="L131" s="139"/>
      <c r="M131" s="24"/>
      <c r="N131" s="24"/>
      <c r="O131" s="24"/>
    </row>
    <row r="132" spans="1:15" ht="21" customHeight="1" x14ac:dyDescent="0.25">
      <c r="A132" s="24"/>
      <c r="B132" s="24"/>
      <c r="C132" s="24"/>
      <c r="D132" s="24"/>
      <c r="E132" s="24"/>
      <c r="F132" s="139"/>
      <c r="G132" s="139"/>
      <c r="H132" s="139"/>
      <c r="I132" s="139"/>
      <c r="J132" s="139"/>
      <c r="K132" s="139"/>
      <c r="L132" s="139"/>
      <c r="M132" s="24"/>
      <c r="N132" s="24"/>
      <c r="O132" s="24"/>
    </row>
    <row r="133" spans="1:15" ht="21" customHeight="1" x14ac:dyDescent="0.25">
      <c r="A133" s="24"/>
      <c r="B133" s="24"/>
      <c r="C133" s="24"/>
      <c r="D133" s="24"/>
      <c r="E133" s="24"/>
      <c r="F133" s="139"/>
      <c r="G133" s="139"/>
      <c r="H133" s="139"/>
      <c r="I133" s="139"/>
      <c r="J133" s="139"/>
      <c r="K133" s="139"/>
      <c r="L133" s="139"/>
      <c r="M133" s="24"/>
      <c r="N133" s="24"/>
      <c r="O133" s="24"/>
    </row>
    <row r="134" spans="1:15" ht="24" customHeight="1" x14ac:dyDescent="0.25"/>
    <row r="135" spans="1:15" ht="21" customHeight="1" x14ac:dyDescent="0.25">
      <c r="A135" s="34"/>
      <c r="B135" s="34" t="s">
        <v>217</v>
      </c>
      <c r="C135" s="27"/>
      <c r="D135" s="27"/>
      <c r="E135" s="27"/>
      <c r="F135" s="27"/>
      <c r="G135" s="27"/>
      <c r="H135" s="27"/>
      <c r="I135" s="27"/>
      <c r="J135" s="27"/>
      <c r="K135" s="27"/>
      <c r="L135" s="27"/>
      <c r="M135" s="27"/>
      <c r="N135" s="27"/>
      <c r="O135" s="27"/>
    </row>
    <row r="136" spans="1:15" ht="43.5" customHeight="1" x14ac:dyDescent="0.25">
      <c r="A136" s="27"/>
      <c r="B136" s="135" t="s">
        <v>218</v>
      </c>
      <c r="C136" s="135"/>
      <c r="D136" s="135"/>
      <c r="E136" s="135"/>
      <c r="F136" s="135"/>
      <c r="G136" s="135"/>
      <c r="H136" s="135"/>
      <c r="I136" s="135"/>
      <c r="J136" s="135"/>
      <c r="K136" s="135"/>
      <c r="L136" s="135"/>
      <c r="M136" s="135"/>
      <c r="N136" s="135"/>
      <c r="O136" s="135"/>
    </row>
    <row r="137" spans="1:15" x14ac:dyDescent="0.25">
      <c r="A137" s="27"/>
      <c r="B137" s="27"/>
      <c r="C137" s="27"/>
      <c r="D137" s="27"/>
      <c r="E137" s="27"/>
      <c r="F137" s="27"/>
      <c r="G137" s="27"/>
      <c r="H137" s="27"/>
      <c r="I137" s="27"/>
      <c r="J137" s="27"/>
      <c r="K137" s="27"/>
      <c r="L137" s="27"/>
      <c r="M137" s="27"/>
      <c r="N137" s="27"/>
      <c r="O137" s="27"/>
    </row>
    <row r="138" spans="1:15" ht="24" customHeight="1" x14ac:dyDescent="0.25">
      <c r="A138" s="27"/>
      <c r="B138" s="27"/>
      <c r="C138" s="27"/>
      <c r="D138" s="27"/>
      <c r="E138" s="27"/>
      <c r="F138" s="27"/>
      <c r="G138" s="27"/>
      <c r="H138" s="27"/>
      <c r="I138" s="27"/>
      <c r="J138" s="27"/>
      <c r="K138" s="27"/>
      <c r="L138" s="27"/>
      <c r="M138" s="27"/>
      <c r="N138" s="27"/>
      <c r="O138" s="27"/>
    </row>
  </sheetData>
  <sheetProtection sheet="1" objects="1" scenarios="1"/>
  <dataConsolidate/>
  <mergeCells count="24">
    <mergeCell ref="B77:B78"/>
    <mergeCell ref="J8:L8"/>
    <mergeCell ref="B56:K56"/>
    <mergeCell ref="B58:K58"/>
    <mergeCell ref="B63:K63"/>
    <mergeCell ref="K72:N72"/>
    <mergeCell ref="F6:N6"/>
    <mergeCell ref="J52:O53"/>
    <mergeCell ref="L108:O108"/>
    <mergeCell ref="L55:O55"/>
    <mergeCell ref="L70:O70"/>
    <mergeCell ref="L90:M105"/>
    <mergeCell ref="K80:L80"/>
    <mergeCell ref="M80:N80"/>
    <mergeCell ref="F77:G77"/>
    <mergeCell ref="F79:G79"/>
    <mergeCell ref="F80:G80"/>
    <mergeCell ref="B136:O136"/>
    <mergeCell ref="B121:C121"/>
    <mergeCell ref="F130:L133"/>
    <mergeCell ref="B120:O120"/>
    <mergeCell ref="B84:O84"/>
    <mergeCell ref="E111:F111"/>
    <mergeCell ref="E110:F110"/>
  </mergeCells>
  <phoneticPr fontId="4" type="noConversion"/>
  <dataValidations count="6">
    <dataValidation allowBlank="1" showInputMessage="1" sqref="F37:G38 F94:G95" xr:uid="{B4D41361-84CD-4DA8-B4FB-24E560005C41}"/>
    <dataValidation type="decimal" allowBlank="1" showInputMessage="1" showErrorMessage="1" error="Die Klasse muss mindestens 300 und darf maximal 4.000 sein." sqref="E35" xr:uid="{1A15EFE7-8B43-44B8-885C-F2992B956C26}">
      <formula1>300</formula1>
      <formula2>4000</formula2>
    </dataValidation>
    <dataValidation type="whole" errorStyle="information" allowBlank="1" showInputMessage="1" showErrorMessage="1" error="Wenn der Gesamtbeitrag &lt;=500 EUR ist, kann die Wunschleistung maximal 1.000 EUR sein. _x000a__x000a_Ist der Gesamtbeitrag &gt;500 EUR, kann das Doppelte des Gesamtbeitrages abgesichert werden!" sqref="N59:N60" xr:uid="{24761019-C31B-4C4F-8DAE-CE97E49D2AF1}">
      <formula1>10</formula1>
      <formula2>1000</formula2>
    </dataValidation>
    <dataValidation type="whole" errorStyle="information" allowBlank="1" showInputMessage="1" showErrorMessage="1" error="Der Wert darf für die Tarife T22 und T29 maximal 180 sein. _x000a__x000a_Bei T43 sind maximal 250 möglich." sqref="E39" xr:uid="{71282AE9-4BFD-41C2-B999-AE63B2DCEB62}">
      <formula1>10</formula1>
      <formula2>180</formula2>
    </dataValidation>
    <dataValidation type="whole" allowBlank="1" showInputMessage="1" showErrorMessage="1" error="Das Kurtagegeld können Sie zwischen 10 € und 150 € wählen." sqref="E43" xr:uid="{181139A9-5FEF-4228-B50E-BA58B4C211C7}">
      <formula1>10</formula1>
      <formula2>150</formula2>
    </dataValidation>
    <dataValidation type="whole" allowBlank="1" showInputMessage="1" showErrorMessage="1" error="bitte nur das Geburtsjahr und das bitte vierstellig eingeben, Geburtsjahre vor 1965 können nicht akzeptiert werden" sqref="C12" xr:uid="{12E67916-0078-470E-8330-AD163E045BEF}">
      <formula1>1965</formula1>
      <formula2>2030</formula2>
    </dataValidation>
  </dataValidations>
  <pageMargins left="0.7" right="0.7" top="0.75" bottom="0.75" header="0.3" footer="0.3"/>
  <pageSetup paperSize="9" scale="58" fitToHeight="0" orientation="portrait" r:id="rId1"/>
  <rowBreaks count="1" manualBreakCount="1">
    <brk id="68" max="14" man="1"/>
  </rowBreaks>
  <customProperties>
    <customPr name="layoutContexts" r:id="rId2"/>
  </customProperties>
  <ignoredErrors>
    <ignoredError sqref="F35" evalError="1"/>
    <ignoredError sqref="C94 C92 E92 C20" unlockedFormula="1"/>
  </ignoredErrors>
  <drawing r:id="rId3"/>
  <legacyDrawing r:id="rId4"/>
  <extLst>
    <ext xmlns:x14="http://schemas.microsoft.com/office/spreadsheetml/2009/9/main" uri="{CCE6A557-97BC-4b89-ADB6-D9C93CAAB3DF}">
      <x14:dataValidations xmlns:xm="http://schemas.microsoft.com/office/excel/2006/main" count="16">
        <x14:dataValidation type="list" allowBlank="1" showInputMessage="1" xr:uid="{3C3F7DC2-F903-49EF-B1F9-53E43C16FF2F}">
          <x14:formula1>
            <xm:f>Tabelle2!$A$43:$A$44</xm:f>
          </x14:formula1>
          <xm:sqref>L29:L30</xm:sqref>
        </x14:dataValidation>
        <x14:dataValidation type="list" allowBlank="1" showInputMessage="1" showErrorMessage="1" xr:uid="{C38FCFB3-5634-4F1A-80AC-0DC053623E35}">
          <x14:formula1>
            <xm:f>GKVListe!$B$3:$B$96</xm:f>
          </x14:formula1>
          <xm:sqref>J8</xm:sqref>
        </x14:dataValidation>
        <x14:dataValidation type="list" allowBlank="1" showInputMessage="1" showErrorMessage="1" xr:uid="{F856DF63-5923-4226-A545-F2F43C8F06A9}">
          <x14:formula1>
            <xm:f>GKVListe!$G$3:$G$8</xm:f>
          </x14:formula1>
          <xm:sqref>C16:C17</xm:sqref>
        </x14:dataValidation>
        <x14:dataValidation type="list" allowBlank="1" showInputMessage="1" xr:uid="{BAACA172-EA9A-4BDC-A38E-E3687C07159F}">
          <x14:formula1>
            <xm:f>Tabelle2!$A$3:$A$7</xm:f>
          </x14:formula1>
          <xm:sqref>C30 C89</xm:sqref>
        </x14:dataValidation>
        <x14:dataValidation type="list" allowBlank="1" showInputMessage="1" showErrorMessage="1" xr:uid="{204C3D64-6AF2-4D54-9BEF-F219A6565279}">
          <x14:formula1>
            <xm:f>Tabelle2!$A$14:$A$15</xm:f>
          </x14:formula1>
          <xm:sqref>C37:C38 C95</xm:sqref>
        </x14:dataValidation>
        <x14:dataValidation type="list" allowBlank="1" showInputMessage="1" showErrorMessage="1" xr:uid="{3193B6AB-EF22-4E25-8A47-4995319CC0B0}">
          <x14:formula1>
            <xm:f>Tabelle2!$A$16:$A$19</xm:f>
          </x14:formula1>
          <xm:sqref>C39</xm:sqref>
        </x14:dataValidation>
        <x14:dataValidation type="list" allowBlank="1" showInputMessage="1" showErrorMessage="1" xr:uid="{C25AD71F-292F-44B1-AF00-41C5B68E4B38}">
          <x14:formula1>
            <xm:f>Tabelle2!$A$49:$A$53</xm:f>
          </x14:formula1>
          <xm:sqref>C60</xm:sqref>
        </x14:dataValidation>
        <x14:dataValidation type="list" showInputMessage="1" showErrorMessage="1" xr:uid="{C599DD63-38F5-411E-AFEC-58AFB0C557BB}">
          <x14:formula1>
            <xm:f>Tabelle2!$A$65:$A$66</xm:f>
          </x14:formula1>
          <xm:sqref>C33:C34</xm:sqref>
        </x14:dataValidation>
        <x14:dataValidation type="list" allowBlank="1" showInputMessage="1" showErrorMessage="1" xr:uid="{78AEBD75-9A72-4EE8-8340-7CBB93DC3474}">
          <x14:formula1>
            <xm:f>Tabelle2!$A$67:$A$68</xm:f>
          </x14:formula1>
          <xm:sqref>C35</xm:sqref>
        </x14:dataValidation>
        <x14:dataValidation type="list" allowBlank="1" showInputMessage="1" xr:uid="{D9E7ACCE-22AA-4C12-BAB4-4ED9BD8D0DD9}">
          <x14:formula1>
            <xm:f>Tabelle2!$A$26:$A$33</xm:f>
          </x14:formula1>
          <xm:sqref>C29</xm:sqref>
        </x14:dataValidation>
        <x14:dataValidation type="list" allowBlank="1" showInputMessage="1" showErrorMessage="1" xr:uid="{0F2EB692-0C49-4B93-B1A5-422935548A52}">
          <x14:formula1>
            <xm:f>Tabelle2!$E$2:$E$3</xm:f>
          </x14:formula1>
          <xm:sqref>C10</xm:sqref>
        </x14:dataValidation>
        <x14:dataValidation type="list" allowBlank="1" showInputMessage="1" showErrorMessage="1" xr:uid="{DB573BD7-6D40-4A33-9CB8-F3210E8E73F9}">
          <x14:formula1>
            <xm:f>Tabelle2!$F$2:$F$3</xm:f>
          </x14:formula1>
          <xm:sqref>H28:I28 I27 H52:H53</xm:sqref>
        </x14:dataValidation>
        <x14:dataValidation type="list" allowBlank="1" showInputMessage="1" showErrorMessage="1" xr:uid="{5B7627FE-8697-4E02-AC0E-050807443813}">
          <x14:formula1>
            <xm:f>Tabelle2!$A$20:$A$22</xm:f>
          </x14:formula1>
          <xm:sqref>C41</xm:sqref>
        </x14:dataValidation>
        <x14:dataValidation type="list" allowBlank="1" showInputMessage="1" showErrorMessage="1" xr:uid="{CE73EEF3-1B04-48A8-808B-2A1C1A2A9790}">
          <x14:formula1>
            <xm:f>Tabelle2!$A$58:$A$63</xm:f>
          </x14:formula1>
          <xm:sqref>C65:C66</xm:sqref>
        </x14:dataValidation>
        <x14:dataValidation type="list" allowBlank="1" showInputMessage="1" showErrorMessage="1" xr:uid="{E2CD6F78-12CD-4B8B-82DD-075CE8F21A7D}">
          <x14:formula1>
            <xm:f>Tabelle2!$A$23:$A$24</xm:f>
          </x14:formula1>
          <xm:sqref>C43</xm:sqref>
        </x14:dataValidation>
        <x14:dataValidation type="list" allowBlank="1" showInputMessage="1" showErrorMessage="1" xr:uid="{DA70582D-0F07-4E9B-AE3A-4AA89E42674D}">
          <x14:formula1>
            <xm:f>Tabelle2!$E$15:$E$19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433C-31B1-49B4-8EB2-B973F07589DC}">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AADC8-9391-4B13-91CA-44D8FBF62AEC}">
  <sheetPr codeName="Tabelle2"/>
  <dimension ref="A1:AG68"/>
  <sheetViews>
    <sheetView showZeros="0" workbookViewId="0">
      <selection activeCell="N15" sqref="N15"/>
    </sheetView>
  </sheetViews>
  <sheetFormatPr baseColWidth="10" defaultColWidth="11.5703125" defaultRowHeight="15" x14ac:dyDescent="0.25"/>
  <cols>
    <col min="1" max="1" width="23" style="1" customWidth="1"/>
    <col min="2" max="2" width="12.5703125" style="1" customWidth="1"/>
    <col min="3" max="3" width="27.28515625" style="1" customWidth="1"/>
    <col min="4" max="4" width="15" style="1" customWidth="1"/>
    <col min="5" max="5" width="18.140625" style="1" customWidth="1"/>
    <col min="6" max="6" width="18.42578125" style="1" customWidth="1"/>
    <col min="7" max="7" width="14.28515625" customWidth="1"/>
    <col min="8" max="8" width="28.28515625" customWidth="1"/>
    <col min="9" max="9" width="32.140625" customWidth="1"/>
    <col min="10" max="10" width="17.7109375" customWidth="1"/>
    <col min="12" max="12" width="24" customWidth="1"/>
    <col min="13" max="13" width="10.28515625" customWidth="1"/>
    <col min="14" max="14" width="25.85546875" customWidth="1"/>
    <col min="15" max="15" width="26.5703125" customWidth="1"/>
    <col min="34" max="16384" width="11.5703125" style="1"/>
  </cols>
  <sheetData>
    <row r="1" spans="1:15" s="4" customFormat="1" x14ac:dyDescent="0.25">
      <c r="B1" s="4" t="s">
        <v>8</v>
      </c>
      <c r="C1" s="1">
        <f xml:space="preserve"> Übersicht!C14-Übersicht!C12</f>
        <v>36</v>
      </c>
      <c r="E1" s="67" t="s">
        <v>235</v>
      </c>
      <c r="F1" s="67" t="s">
        <v>254</v>
      </c>
      <c r="G1" s="55" t="s">
        <v>248</v>
      </c>
      <c r="H1" s="55"/>
      <c r="I1" s="55" t="s">
        <v>249</v>
      </c>
      <c r="J1" s="55" t="s">
        <v>250</v>
      </c>
      <c r="K1" s="57"/>
      <c r="L1" s="60" t="s">
        <v>271</v>
      </c>
      <c r="M1" s="57"/>
      <c r="N1" s="60" t="s">
        <v>263</v>
      </c>
      <c r="O1" s="60" t="s">
        <v>264</v>
      </c>
    </row>
    <row r="2" spans="1:15" x14ac:dyDescent="0.25">
      <c r="C2" s="67" t="s">
        <v>257</v>
      </c>
      <c r="E2" s="66" t="s">
        <v>239</v>
      </c>
      <c r="F2" s="66" t="s">
        <v>252</v>
      </c>
      <c r="G2" s="56">
        <v>69750</v>
      </c>
      <c r="H2" s="57"/>
      <c r="I2" s="58">
        <v>17.100000000000001</v>
      </c>
      <c r="J2" s="57">
        <v>2.5</v>
      </c>
      <c r="K2" s="57"/>
      <c r="L2" s="57">
        <f>MIN(ROUNDUP(Übersicht!C18/12/30*80/100/5,0)*5,200)</f>
        <v>95</v>
      </c>
      <c r="M2" s="57"/>
      <c r="N2" s="57">
        <v>211.84</v>
      </c>
      <c r="O2" s="57">
        <v>250.84</v>
      </c>
    </row>
    <row r="3" spans="1:15" x14ac:dyDescent="0.25">
      <c r="A3" s="1" t="s">
        <v>0</v>
      </c>
      <c r="B3" s="1">
        <f>VLOOKUP(C1,Beiträge!A:B,2,FALSE)</f>
        <v>358.11</v>
      </c>
      <c r="C3" s="66"/>
      <c r="E3" s="66" t="s">
        <v>240</v>
      </c>
      <c r="F3" s="66" t="s">
        <v>253</v>
      </c>
      <c r="I3" s="67" t="s">
        <v>282</v>
      </c>
    </row>
    <row r="4" spans="1:15" x14ac:dyDescent="0.25">
      <c r="A4" s="1" t="s">
        <v>54</v>
      </c>
      <c r="B4" s="1">
        <f>B3+B13</f>
        <v>381.33000000000004</v>
      </c>
      <c r="C4" s="66"/>
      <c r="I4" s="72">
        <f>IF(
  (Übersicht!F29 + Übersicht!F33 + Übersicht!F35 + Übersicht!F37 + Übersicht!F39+Übersicht!F41+Übersicht!F43)/2 &gt; G2 * I2 / 100 / 12 / 2,
  G2 * I2 / 100 / 12 / 2,
  (Übersicht!F29 + Übersicht!F33 + Übersicht!F35 + Übersicht!F37 + Übersicht!F39+Übersicht!F41+Übersicht!F43)/2
)</f>
        <v>177.79299999999998</v>
      </c>
      <c r="J4">
        <f>IF((Übersicht!F31)/2 &gt; G2 * J2 / 100 / 12 / 2,G2 * J2 / 100 / 12 / 2,(Übersicht!F31)/2)</f>
        <v>34.265000000000001</v>
      </c>
    </row>
    <row r="5" spans="1:15" x14ac:dyDescent="0.25">
      <c r="A5" s="1" t="s">
        <v>1</v>
      </c>
      <c r="B5" s="1">
        <f>VLOOKUP(C1,Beiträge!C:D,2,FALSE)</f>
        <v>263.49</v>
      </c>
      <c r="C5" s="66"/>
      <c r="I5" s="67" t="s">
        <v>295</v>
      </c>
      <c r="J5" s="1"/>
      <c r="L5" t="str">
        <f>IF(Übersicht!C10="angestellt", L2, "")</f>
        <v/>
      </c>
    </row>
    <row r="6" spans="1:15" x14ac:dyDescent="0.25">
      <c r="A6" s="1" t="s">
        <v>55</v>
      </c>
      <c r="B6" s="1">
        <f>B5+B13</f>
        <v>286.71000000000004</v>
      </c>
      <c r="C6" s="66"/>
      <c r="I6" s="72">
        <f>IF(
  (Übersicht!F29 + Übersicht!F33 + Übersicht!F35 + Übersicht!F37 + Übersicht!F39+Übersicht!F41+Übersicht!F43+Übersicht!F60)/2 &gt; G2 * I2 / 100 / 12 / 2,
  G2 * I2 / 100 / 12 / 2,
  (Übersicht!F29 + Übersicht!F33 + Übersicht!F35 + Übersicht!F37 + Übersicht!F39+Übersicht!F41+Übersicht!F43+Übersicht!F60)/2
)</f>
        <v>244.87299999999999</v>
      </c>
      <c r="J6" s="1"/>
    </row>
    <row r="7" spans="1:15" x14ac:dyDescent="0.25">
      <c r="A7" s="1" t="s">
        <v>2</v>
      </c>
      <c r="B7" s="1">
        <f>VLOOKUP(C1,Beiträge!E:F,2,FALSE)</f>
        <v>461.09</v>
      </c>
      <c r="C7" s="66"/>
    </row>
    <row r="8" spans="1:15" x14ac:dyDescent="0.25">
      <c r="A8" s="1" t="s">
        <v>244</v>
      </c>
      <c r="B8" s="1">
        <f>VLOOKUP(C1,Beiträge!AJ:AK,2,FALSE)</f>
        <v>367.25</v>
      </c>
      <c r="C8" s="68">
        <f>VLOOKUP(C1,Beiträge!AP:AQ,2,FALSE)</f>
        <v>283.91666666666697</v>
      </c>
      <c r="E8" s="67" t="s">
        <v>266</v>
      </c>
      <c r="G8" s="75" t="s">
        <v>280</v>
      </c>
      <c r="H8" s="75" t="s">
        <v>309</v>
      </c>
      <c r="I8" s="5"/>
    </row>
    <row r="9" spans="1:15" x14ac:dyDescent="0.25">
      <c r="A9" s="1" t="s">
        <v>246</v>
      </c>
      <c r="B9" s="1">
        <f>B8+B13</f>
        <v>390.47</v>
      </c>
      <c r="C9" s="68">
        <f>VLOOKUP(C1,Beiträge!AP:AQ,2,FALSE)+B13</f>
        <v>307.136666666667</v>
      </c>
      <c r="E9" s="66"/>
      <c r="G9" s="73">
        <f>Übersicht!F88+Übersicht!F90+Übersicht!F92+Übersicht!F94+Übersicht!F96+Übersicht!F100-Übersicht!F102</f>
        <v>95.950000000000045</v>
      </c>
      <c r="H9" s="73">
        <f>Übersicht!J88+Übersicht!J90+Übersicht!J92+Übersicht!J94+Übersicht!J96+Übersicht!J100-Übersicht!J102</f>
        <v>307.50896510946802</v>
      </c>
    </row>
    <row r="10" spans="1:15" x14ac:dyDescent="0.25">
      <c r="A10" s="1" t="s">
        <v>247</v>
      </c>
      <c r="B10" s="1">
        <f>VLOOKUP(C1,Beiträge!AL:AM,2,FALSE)</f>
        <v>570.22</v>
      </c>
      <c r="C10" s="69">
        <f xml:space="preserve"> VLOOKUP(C1,Beiträge!AN:AO,2,FALSE)</f>
        <v>368.54</v>
      </c>
      <c r="E10" s="66"/>
      <c r="G10" s="74">
        <f>MAX(G9/2, 0)</f>
        <v>47.975000000000023</v>
      </c>
      <c r="H10" s="99">
        <f>MAX(H9/2, 0)</f>
        <v>153.75448255473401</v>
      </c>
    </row>
    <row r="11" spans="1:15" x14ac:dyDescent="0.25">
      <c r="A11" s="1" t="s">
        <v>5</v>
      </c>
      <c r="B11" s="1">
        <f>VLOOKUP(C1,Beiträge!G:H,2,FALSE)</f>
        <v>68.53</v>
      </c>
      <c r="E11" s="66" t="s">
        <v>267</v>
      </c>
    </row>
    <row r="12" spans="1:15" x14ac:dyDescent="0.25">
      <c r="A12" s="7" t="s">
        <v>18</v>
      </c>
    </row>
    <row r="13" spans="1:15" x14ac:dyDescent="0.25">
      <c r="A13" s="1" t="s">
        <v>3</v>
      </c>
      <c r="B13" s="1">
        <f>VLOOKUP(C1,Beiträge!I:J,2,FALSE)</f>
        <v>23.22</v>
      </c>
    </row>
    <row r="14" spans="1:15" x14ac:dyDescent="0.25">
      <c r="A14" s="7" t="s">
        <v>18</v>
      </c>
      <c r="E14" s="1">
        <v>2025</v>
      </c>
    </row>
    <row r="15" spans="1:15" x14ac:dyDescent="0.25">
      <c r="A15" s="1" t="s">
        <v>4</v>
      </c>
      <c r="B15" s="1">
        <f>VLOOKUP(C1,Beiträge!K:L,2,FALSE)</f>
        <v>36.549999999999997</v>
      </c>
      <c r="E15" s="1">
        <v>2026</v>
      </c>
    </row>
    <row r="16" spans="1:15" x14ac:dyDescent="0.25">
      <c r="A16" s="7" t="s">
        <v>18</v>
      </c>
      <c r="E16" s="1">
        <v>2027</v>
      </c>
    </row>
    <row r="17" spans="1:5" x14ac:dyDescent="0.25">
      <c r="A17" s="1" t="s">
        <v>7</v>
      </c>
      <c r="B17" s="1">
        <f>Übersicht!E39/10*C17</f>
        <v>91.674999999999997</v>
      </c>
      <c r="C17" s="1">
        <f>VLOOKUP(C1,Beiträge!M:N,2,FALSE)</f>
        <v>9.65</v>
      </c>
      <c r="E17" s="1">
        <v>2028</v>
      </c>
    </row>
    <row r="18" spans="1:5" x14ac:dyDescent="0.25">
      <c r="A18" s="1" t="s">
        <v>6</v>
      </c>
      <c r="B18" s="1">
        <f>Übersicht!E39/10*C18</f>
        <v>65.454999999999998</v>
      </c>
      <c r="C18" s="1">
        <f>VLOOKUP(C1,Beiträge!O:P,2,FALSE)</f>
        <v>6.89</v>
      </c>
      <c r="E18" s="1">
        <v>2029</v>
      </c>
    </row>
    <row r="19" spans="1:5" x14ac:dyDescent="0.25">
      <c r="A19" s="1" t="s">
        <v>29</v>
      </c>
      <c r="B19" s="1">
        <f>Übersicht!E39/10*C19</f>
        <v>38.569999999999993</v>
      </c>
      <c r="C19" s="1">
        <f>VLOOKUP(C1,Beiträge!Q:R,2,FALSE)</f>
        <v>4.0599999999999996</v>
      </c>
      <c r="E19" s="1">
        <v>2030</v>
      </c>
    </row>
    <row r="20" spans="1:5" x14ac:dyDescent="0.25">
      <c r="A20" s="7" t="s">
        <v>18</v>
      </c>
    </row>
    <row r="21" spans="1:5" x14ac:dyDescent="0.25">
      <c r="A21" s="1" t="s">
        <v>275</v>
      </c>
      <c r="B21" s="1">
        <f>VLOOKUP(C1,Beiträge!U:V,2,FALSE)*5</f>
        <v>14.7</v>
      </c>
    </row>
    <row r="22" spans="1:5" x14ac:dyDescent="0.25">
      <c r="A22" s="1" t="s">
        <v>276</v>
      </c>
      <c r="B22" s="1">
        <f>VLOOKUP(C1,Beiträge!U:V,2,FALSE)*10</f>
        <v>29.4</v>
      </c>
    </row>
    <row r="23" spans="1:5" x14ac:dyDescent="0.25">
      <c r="A23" s="1" t="s">
        <v>18</v>
      </c>
    </row>
    <row r="24" spans="1:5" x14ac:dyDescent="0.25">
      <c r="A24" s="1" t="s">
        <v>316</v>
      </c>
      <c r="B24" s="1">
        <f>Übersicht!E43*(C24/10)</f>
        <v>0</v>
      </c>
      <c r="C24" s="1">
        <f>VLOOKUP(C1,Beiträge!AR:AS,2,FALSE)</f>
        <v>0.35</v>
      </c>
    </row>
    <row r="25" spans="1:5" x14ac:dyDescent="0.25">
      <c r="B25" s="4" t="s">
        <v>28</v>
      </c>
    </row>
    <row r="26" spans="1:5" x14ac:dyDescent="0.25">
      <c r="A26" s="1" t="s">
        <v>247</v>
      </c>
      <c r="B26" s="13">
        <f>(B10/10)+B10</f>
        <v>627.24200000000008</v>
      </c>
      <c r="C26" s="66">
        <f>B10/10+C10</f>
        <v>425.56200000000001</v>
      </c>
    </row>
    <row r="27" spans="1:5" x14ac:dyDescent="0.25">
      <c r="A27" s="1" t="s">
        <v>244</v>
      </c>
      <c r="B27" s="13">
        <f>(B8/10)+B8</f>
        <v>403.97500000000002</v>
      </c>
      <c r="C27" s="66">
        <f>B8/10+C8</f>
        <v>320.64166666666699</v>
      </c>
    </row>
    <row r="28" spans="1:5" x14ac:dyDescent="0.25">
      <c r="A28" s="1" t="s">
        <v>246</v>
      </c>
      <c r="B28" s="13">
        <f>B27+B35</f>
        <v>429.517</v>
      </c>
      <c r="C28" s="66">
        <f>C27+B35</f>
        <v>346.18366666666697</v>
      </c>
    </row>
    <row r="29" spans="1:5" x14ac:dyDescent="0.25">
      <c r="A29" s="1" t="s">
        <v>0</v>
      </c>
      <c r="B29" s="1">
        <f>(B3/10)+B3</f>
        <v>393.92099999999999</v>
      </c>
    </row>
    <row r="30" spans="1:5" x14ac:dyDescent="0.25">
      <c r="A30" s="1" t="s">
        <v>54</v>
      </c>
      <c r="B30" s="1">
        <f>B29+B35</f>
        <v>419.46299999999997</v>
      </c>
    </row>
    <row r="31" spans="1:5" x14ac:dyDescent="0.25">
      <c r="A31" s="1" t="s">
        <v>1</v>
      </c>
      <c r="B31" s="1">
        <f>(B5/10)+B5</f>
        <v>289.839</v>
      </c>
    </row>
    <row r="32" spans="1:5" x14ac:dyDescent="0.25">
      <c r="A32" s="1" t="s">
        <v>55</v>
      </c>
      <c r="B32" s="1">
        <f>B31 + B35</f>
        <v>315.38099999999997</v>
      </c>
    </row>
    <row r="33" spans="1:6" x14ac:dyDescent="0.25">
      <c r="A33" s="1" t="s">
        <v>2</v>
      </c>
      <c r="B33" s="1">
        <f>(B7/10)+B7</f>
        <v>507.19899999999996</v>
      </c>
    </row>
    <row r="34" spans="1:6" x14ac:dyDescent="0.25">
      <c r="A34" s="7" t="s">
        <v>18</v>
      </c>
    </row>
    <row r="35" spans="1:6" x14ac:dyDescent="0.25">
      <c r="A35" s="1" t="s">
        <v>3</v>
      </c>
      <c r="B35" s="1">
        <f>(B13/10)+B13</f>
        <v>25.541999999999998</v>
      </c>
    </row>
    <row r="36" spans="1:6" x14ac:dyDescent="0.25">
      <c r="A36" s="7" t="s">
        <v>18</v>
      </c>
    </row>
    <row r="37" spans="1:6" x14ac:dyDescent="0.25">
      <c r="A37" s="1" t="s">
        <v>4</v>
      </c>
      <c r="B37" s="1">
        <f>(B15/10)+B15</f>
        <v>40.204999999999998</v>
      </c>
    </row>
    <row r="38" spans="1:6" x14ac:dyDescent="0.25">
      <c r="A38" s="7" t="s">
        <v>18</v>
      </c>
    </row>
    <row r="39" spans="1:6" x14ac:dyDescent="0.25">
      <c r="A39" s="1" t="s">
        <v>275</v>
      </c>
      <c r="B39" s="1">
        <f>B21/10+B21</f>
        <v>16.169999999999998</v>
      </c>
    </row>
    <row r="40" spans="1:6" x14ac:dyDescent="0.25">
      <c r="A40" s="1" t="s">
        <v>276</v>
      </c>
      <c r="B40" s="1">
        <f>B22/10+B22</f>
        <v>32.339999999999996</v>
      </c>
    </row>
    <row r="42" spans="1:6" x14ac:dyDescent="0.25">
      <c r="A42" s="70" t="s">
        <v>10</v>
      </c>
      <c r="B42" s="1" t="s">
        <v>25</v>
      </c>
      <c r="C42" s="1" t="s">
        <v>26</v>
      </c>
      <c r="D42" s="1" t="s">
        <v>27</v>
      </c>
      <c r="E42" s="1" t="s">
        <v>34</v>
      </c>
      <c r="F42" s="1" t="s">
        <v>35</v>
      </c>
    </row>
    <row r="43" spans="1:6" x14ac:dyDescent="0.25">
      <c r="A43" s="71" t="s">
        <v>23</v>
      </c>
      <c r="B43" s="1">
        <f>Übersicht!C18/12*(14%+Übersicht!J14)</f>
        <v>605.15</v>
      </c>
      <c r="C43" s="1">
        <f>(Übersicht!J14+14%)*(G2/12)</f>
        <v>1004.98125</v>
      </c>
      <c r="D43" s="1">
        <f>Übersicht!J16*(G2/12)</f>
        <v>244.12500000000003</v>
      </c>
      <c r="E43" s="1">
        <f>(Übersicht!J14+14%)*1248.33</f>
        <v>215.83625699999999</v>
      </c>
      <c r="F43" s="1">
        <f>Übersicht!J16*1248.33</f>
        <v>52.429859999999998</v>
      </c>
    </row>
    <row r="44" spans="1:6" x14ac:dyDescent="0.25">
      <c r="A44" s="71" t="s">
        <v>24</v>
      </c>
      <c r="B44" s="1">
        <f>Übersicht!C18/12*(14.6%+Übersicht!J14)</f>
        <v>626.15</v>
      </c>
      <c r="C44" s="1">
        <f>(Übersicht!J14+14.6%)*(G2/12)</f>
        <v>1039.85625</v>
      </c>
      <c r="E44" s="1">
        <f>(Übersicht!J14+14.6%)*1248.33</f>
        <v>223.32623699999999</v>
      </c>
    </row>
    <row r="47" spans="1:6" x14ac:dyDescent="0.25">
      <c r="A47" s="4" t="s">
        <v>31</v>
      </c>
    </row>
    <row r="48" spans="1:6" x14ac:dyDescent="0.25">
      <c r="A48" s="4" t="s">
        <v>38</v>
      </c>
    </row>
    <row r="49" spans="1:5" x14ac:dyDescent="0.25">
      <c r="A49" s="9" t="s">
        <v>36</v>
      </c>
      <c r="B49" s="1">
        <f>MIN(ROUNDUP(C49/D50*10,-1),1000)</f>
        <v>1000</v>
      </c>
      <c r="C49" s="8">
        <f>MIN(Übersicht!N48-Übersicht!F46,E50)</f>
        <v>312</v>
      </c>
    </row>
    <row r="50" spans="1:5" x14ac:dyDescent="0.25">
      <c r="A50" s="1" t="s">
        <v>83</v>
      </c>
      <c r="B50" s="8">
        <f>ROUNDUP(Übersicht!F29+Übersicht!F33+ Übersicht!F31+Übersicht!F33+Übersicht!F35+Übersicht!F37+Übersicht!F39+Übersicht!F41,-1)</f>
        <v>430</v>
      </c>
      <c r="C50" s="1">
        <f>B50/10*D50</f>
        <v>134.16</v>
      </c>
      <c r="D50" s="1">
        <f>VLOOKUP(C1,Beiträge!S:T,2,FALSE)</f>
        <v>3.12</v>
      </c>
      <c r="E50" s="1">
        <f>D50*100</f>
        <v>312</v>
      </c>
    </row>
    <row r="51" spans="1:5" x14ac:dyDescent="0.25">
      <c r="A51" s="9" t="s">
        <v>84</v>
      </c>
      <c r="B51" s="1">
        <f>ROUNDUP(B50 * (1 + 1.5%) ^ (65 -C1),-1)</f>
        <v>670</v>
      </c>
      <c r="C51" s="1">
        <f>B51/10*D50</f>
        <v>209.04000000000002</v>
      </c>
    </row>
    <row r="52" spans="1:5" x14ac:dyDescent="0.25">
      <c r="A52" s="9" t="s">
        <v>32</v>
      </c>
      <c r="B52" s="80">
        <f>Übersicht!N60</f>
        <v>0</v>
      </c>
      <c r="C52" s="13">
        <f>Übersicht!N60/10*D50</f>
        <v>0</v>
      </c>
    </row>
    <row r="53" spans="1:5" x14ac:dyDescent="0.25">
      <c r="A53" s="1" t="s">
        <v>48</v>
      </c>
    </row>
    <row r="56" spans="1:5" x14ac:dyDescent="0.25">
      <c r="A56" s="4" t="s">
        <v>39</v>
      </c>
    </row>
    <row r="57" spans="1:5" ht="45" x14ac:dyDescent="0.25">
      <c r="B57" s="9" t="s">
        <v>44</v>
      </c>
      <c r="C57" s="9" t="s">
        <v>45</v>
      </c>
      <c r="D57" s="10" t="s">
        <v>42</v>
      </c>
      <c r="E57" s="11" t="s">
        <v>43</v>
      </c>
    </row>
    <row r="58" spans="1:5" x14ac:dyDescent="0.25">
      <c r="A58" s="9" t="s">
        <v>57</v>
      </c>
      <c r="B58" s="8">
        <f>Übersicht!F52-Übersicht!F60</f>
        <v>214.87400000000005</v>
      </c>
      <c r="C58" s="1">
        <f>ROUNDUP((B58*IF((67-C1)&gt;35,0.11,IF((67-C1)&gt;=30,0.095,IF((67-C1)&gt;=25,0.085,IF((67-C1)&gt;=20,0.075,IF((67-C1)&gt;=15,0.065,IF((67-C1)&gt;=7,0.06,0)))))))*(67-C1),-1)</f>
        <v>640</v>
      </c>
      <c r="D58" s="12">
        <f>C49</f>
        <v>312</v>
      </c>
      <c r="E58" s="12">
        <f>ROUNDUP((C49*0.05)*(67-C1),-1)</f>
        <v>490</v>
      </c>
    </row>
    <row r="59" spans="1:5" x14ac:dyDescent="0.25">
      <c r="A59" s="9" t="s">
        <v>40</v>
      </c>
      <c r="B59" s="1">
        <f>(E59*100)/(IF((67-C1)&gt;35,11,IF((67-C1)&gt;=30,9.5,IF((67-C1)&gt;=25,8.5,IF((67-C1)&gt;=20,7.5,IF((67-C1)&gt;=15,6.5,IF((67-C1)&gt;=7,6,"Fehler"))))))*(67-C1))</f>
        <v>146.01018675721562</v>
      </c>
      <c r="C59" s="8">
        <f>ROUNDUP(Übersicht!F48,-1)</f>
        <v>430</v>
      </c>
      <c r="D59" s="12">
        <f>(E59*100)/(5*(67-C1))</f>
        <v>277.41935483870969</v>
      </c>
      <c r="E59" s="12">
        <f>ROUNDUP(Übersicht!F46,-1)</f>
        <v>430</v>
      </c>
    </row>
    <row r="60" spans="1:5" x14ac:dyDescent="0.25">
      <c r="A60" s="9" t="s">
        <v>41</v>
      </c>
      <c r="B60" s="1">
        <f>(E60*100)/(IF((67-C1)&gt;35,11,IF((67-C1)&gt;=30,9.5,IF((67-C1)&gt;=25,8.5,IF((67-C1)&gt;=20,7.5,IF((67-C1)&gt;=15,6.5,IF((67-C1)&gt;=7,6,"Fehler"))))))*(67-C1))</f>
        <v>230.89983022071308</v>
      </c>
      <c r="C60" s="1">
        <f>ROUNDUP(Übersicht!F48 * (1 + 1.5%) ^ (67 -C1),-1)</f>
        <v>680</v>
      </c>
      <c r="D60" s="12">
        <f>(E60*100)/(5*(67-C1))</f>
        <v>438.70967741935482</v>
      </c>
      <c r="E60" s="12">
        <f>ROUNDUP(Übersicht!F46 * (1 + 1.5%) ^ (67 -C1),-1)</f>
        <v>680</v>
      </c>
    </row>
    <row r="61" spans="1:5" x14ac:dyDescent="0.25">
      <c r="A61" s="9" t="s">
        <v>32</v>
      </c>
      <c r="B61" s="1">
        <f>(C61*100)/(IF((67-C1)&gt;35,11,IF((67-C1)&gt;=30,9.5,IF((67-C1)&gt;=25,8.5,IF((67-C1)&gt;=20,7.5,IF((67-C1)&gt;=15,6.5,IF((67-C1)&gt;=7,6,"Fehler"))))))*(67-C1))</f>
        <v>0</v>
      </c>
      <c r="C61" s="8">
        <f>Übersicht!N65</f>
        <v>0</v>
      </c>
      <c r="D61" s="12">
        <f>(B52*100)/(5*(67-C1))</f>
        <v>0</v>
      </c>
      <c r="E61" s="12">
        <f>B52</f>
        <v>0</v>
      </c>
    </row>
    <row r="62" spans="1:5" x14ac:dyDescent="0.25">
      <c r="A62" s="1" t="s">
        <v>308</v>
      </c>
      <c r="B62" s="1">
        <f>Übersicht!N67</f>
        <v>0</v>
      </c>
      <c r="C62" s="1">
        <f>ROUNDUP((B62*IF((67-C1)&gt;35,0.11,IF((67-C1)&gt;=30,0.095,IF((67-C1)&gt;=25,0.085,IF((67-C1)&gt;=20,0.075,IF((67-C1)&gt;=15,0.065,IF((67-C1)&gt;=7,0.06,0)))))))*(67-C1),-1)</f>
        <v>0</v>
      </c>
    </row>
    <row r="63" spans="1:5" x14ac:dyDescent="0.25">
      <c r="A63" s="1" t="s">
        <v>48</v>
      </c>
    </row>
    <row r="64" spans="1:5" x14ac:dyDescent="0.25">
      <c r="A64" s="4" t="s">
        <v>49</v>
      </c>
    </row>
    <row r="65" spans="1:3" x14ac:dyDescent="0.25">
      <c r="A65" s="7" t="s">
        <v>18</v>
      </c>
    </row>
    <row r="66" spans="1:3" x14ac:dyDescent="0.25">
      <c r="A66" s="1" t="s">
        <v>51</v>
      </c>
      <c r="B66" s="1">
        <f>VLOOKUP(C1,Beiträge!Y:Z,2,FALSE)</f>
        <v>5.18</v>
      </c>
    </row>
    <row r="67" spans="1:3" x14ac:dyDescent="0.25">
      <c r="A67" s="1" t="s">
        <v>18</v>
      </c>
      <c r="B67" s="1">
        <f>Übersicht!E35*(C68/300)*0</f>
        <v>0</v>
      </c>
    </row>
    <row r="68" spans="1:3" x14ac:dyDescent="0.25">
      <c r="A68" s="1" t="s">
        <v>50</v>
      </c>
      <c r="B68" s="1">
        <f>Übersicht!E35*(C68/300)</f>
        <v>0</v>
      </c>
      <c r="C68" s="1">
        <f>VLOOKUP(C1,Beiträge!W:X,2,FALSE)</f>
        <v>5.32</v>
      </c>
    </row>
  </sheetData>
  <pageMargins left="0.7" right="0.7" top="0.78740157499999996" bottom="0.78740157499999996" header="0.3" footer="0.3"/>
  <pageSetup paperSize="9" orientation="portrait" r:id="rId1"/>
  <customProperties>
    <customPr name="layoutContexts" r:id="rId2"/>
  </customProperties>
  <ignoredErrors>
    <ignoredError sqref="B5 B7 B30 B3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AC488-00D9-48C7-BC98-5664E5B7FEFD}">
  <dimension ref="A1:AS62"/>
  <sheetViews>
    <sheetView workbookViewId="0"/>
  </sheetViews>
  <sheetFormatPr baseColWidth="10" defaultRowHeight="15" x14ac:dyDescent="0.25"/>
  <cols>
    <col min="1" max="1" width="11.5703125" style="3"/>
    <col min="2" max="2" width="11.5703125" style="1"/>
    <col min="3" max="3" width="11.5703125" style="3"/>
    <col min="4" max="4" width="11.5703125" style="1"/>
    <col min="5" max="5" width="11.5703125" style="3"/>
    <col min="6" max="6" width="11.5703125" style="1"/>
    <col min="7" max="7" width="11.5703125" style="3"/>
    <col min="8" max="8" width="11.5703125" style="133"/>
    <col min="9" max="9" width="11.5703125" style="3"/>
    <col min="10" max="10" width="11.5703125" style="1"/>
    <col min="11" max="11" width="11.5703125" style="3"/>
    <col min="12" max="12" width="11.5703125" style="1"/>
    <col min="13" max="13" width="11.5703125" style="3"/>
    <col min="14" max="14" width="11.5703125" style="1"/>
    <col min="15" max="15" width="11.5703125" style="3"/>
    <col min="16" max="16" width="11.5703125" style="1"/>
    <col min="17" max="17" width="11.5703125" style="3"/>
    <col min="18" max="18" width="11.5703125" style="1"/>
    <col min="19" max="19" width="11.5703125" style="3"/>
    <col min="20" max="20" width="11.5703125" style="1"/>
    <col min="21" max="21" width="11.42578125" style="3"/>
    <col min="22" max="22" width="15.140625" style="1" customWidth="1"/>
    <col min="23" max="23" width="11.5703125" style="3"/>
    <col min="24" max="24" width="11.5703125" style="1"/>
    <col min="25" max="25" width="11.5703125" style="3"/>
    <col min="26" max="29" width="11.5703125" style="1"/>
    <col min="30" max="30" width="11.5703125" style="3"/>
    <col min="32" max="32" width="11.5703125" style="3"/>
    <col min="34" max="34" width="11.5703125" style="3"/>
    <col min="36" max="36" width="11.42578125" style="3"/>
    <col min="38" max="38" width="11.5703125" style="3"/>
    <col min="39" max="39" width="14.42578125" style="66" customWidth="1"/>
    <col min="40" max="40" width="11.42578125" style="3"/>
    <col min="41" max="41" width="18.7109375" style="66" customWidth="1"/>
    <col min="42" max="42" width="11.42578125" style="3"/>
    <col min="43" max="43" width="11.42578125" style="74"/>
    <col min="44" max="44" width="11.5703125" style="3"/>
  </cols>
  <sheetData>
    <row r="1" spans="1:45" x14ac:dyDescent="0.25">
      <c r="A1" s="4"/>
      <c r="B1" s="4" t="s">
        <v>0</v>
      </c>
      <c r="C1" s="4"/>
      <c r="D1" s="4" t="s">
        <v>1</v>
      </c>
      <c r="E1" s="4"/>
      <c r="F1" s="4" t="s">
        <v>2</v>
      </c>
      <c r="G1" s="4"/>
      <c r="H1" s="70" t="s">
        <v>5</v>
      </c>
      <c r="I1" s="4"/>
      <c r="J1" s="4" t="s">
        <v>3</v>
      </c>
      <c r="K1" s="4"/>
      <c r="L1" s="4" t="s">
        <v>4</v>
      </c>
      <c r="M1" s="4"/>
      <c r="N1" s="4" t="s">
        <v>7</v>
      </c>
      <c r="O1" s="4"/>
      <c r="P1" s="4" t="s">
        <v>6</v>
      </c>
      <c r="Q1" s="4"/>
      <c r="R1" s="4" t="s">
        <v>29</v>
      </c>
      <c r="S1" s="4"/>
      <c r="T1" s="4" t="s">
        <v>30</v>
      </c>
      <c r="U1" s="4"/>
      <c r="V1" s="4" t="s">
        <v>274</v>
      </c>
      <c r="W1" s="4"/>
      <c r="X1" s="4" t="s">
        <v>50</v>
      </c>
      <c r="Y1" s="4"/>
      <c r="Z1" s="4" t="s">
        <v>51</v>
      </c>
      <c r="AA1" s="4"/>
      <c r="AB1" s="4" t="s">
        <v>52</v>
      </c>
      <c r="AC1" s="4" t="s">
        <v>53</v>
      </c>
      <c r="AD1" s="4"/>
      <c r="AE1" s="5" t="s">
        <v>241</v>
      </c>
      <c r="AF1" s="4"/>
      <c r="AG1" s="4" t="s">
        <v>242</v>
      </c>
      <c r="AH1" s="4"/>
      <c r="AI1" s="5" t="s">
        <v>243</v>
      </c>
      <c r="AJ1" s="4"/>
      <c r="AK1" s="5" t="s">
        <v>244</v>
      </c>
      <c r="AL1" s="4"/>
      <c r="AM1" s="67" t="s">
        <v>245</v>
      </c>
      <c r="AN1" s="4"/>
      <c r="AO1" s="67" t="s">
        <v>255</v>
      </c>
      <c r="AP1" s="4"/>
      <c r="AQ1" s="67" t="s">
        <v>256</v>
      </c>
      <c r="AR1" s="4"/>
      <c r="AS1" s="5" t="s">
        <v>315</v>
      </c>
    </row>
    <row r="2" spans="1:45" x14ac:dyDescent="0.25">
      <c r="A2" s="2">
        <v>0</v>
      </c>
      <c r="B2" s="6">
        <v>192.33</v>
      </c>
      <c r="C2" s="2">
        <v>0</v>
      </c>
      <c r="D2" s="6">
        <v>192.33</v>
      </c>
      <c r="E2" s="2">
        <v>0</v>
      </c>
      <c r="F2" s="6">
        <v>206.51</v>
      </c>
      <c r="G2" s="2">
        <v>0</v>
      </c>
      <c r="H2" s="134">
        <v>43.46</v>
      </c>
      <c r="I2" s="2">
        <v>0</v>
      </c>
      <c r="J2" s="6">
        <v>2.13</v>
      </c>
      <c r="K2" s="2">
        <v>0</v>
      </c>
      <c r="L2" s="6">
        <v>5.33</v>
      </c>
      <c r="M2" s="2">
        <v>0</v>
      </c>
      <c r="O2" s="2">
        <v>0</v>
      </c>
      <c r="Q2" s="2">
        <v>0</v>
      </c>
      <c r="S2" s="2">
        <v>0</v>
      </c>
      <c r="U2" s="2">
        <v>0</v>
      </c>
      <c r="W2" s="2">
        <v>0</v>
      </c>
      <c r="X2" s="13">
        <f t="shared" ref="X2:X33" si="0">AB2+AC2</f>
        <v>1.78</v>
      </c>
      <c r="Y2" s="2">
        <v>0</v>
      </c>
      <c r="AB2" s="6">
        <v>1.76</v>
      </c>
      <c r="AC2" s="6">
        <v>0.02</v>
      </c>
      <c r="AD2" s="2">
        <v>0</v>
      </c>
      <c r="AE2" s="6">
        <v>201.22</v>
      </c>
      <c r="AF2" s="2">
        <v>0</v>
      </c>
      <c r="AG2" s="6">
        <v>14.62</v>
      </c>
      <c r="AH2" s="2">
        <v>0</v>
      </c>
      <c r="AI2" s="6">
        <v>40.17</v>
      </c>
      <c r="AJ2" s="2">
        <v>0</v>
      </c>
      <c r="AK2" s="6">
        <v>192.33</v>
      </c>
      <c r="AL2" s="2">
        <v>0</v>
      </c>
      <c r="AM2" s="72">
        <f>AE2+AG2+AI2</f>
        <v>256.01</v>
      </c>
      <c r="AN2" s="2">
        <v>0</v>
      </c>
      <c r="AO2" s="72">
        <f>(AE2/2)+AG2+AI2</f>
        <v>155.4</v>
      </c>
      <c r="AP2" s="2">
        <v>0</v>
      </c>
      <c r="AQ2" s="73">
        <f t="shared" ref="AQ2:AQ21" si="1">AK2</f>
        <v>192.33</v>
      </c>
      <c r="AR2" s="2">
        <v>0</v>
      </c>
      <c r="AS2" s="6">
        <v>0.18</v>
      </c>
    </row>
    <row r="3" spans="1:45" x14ac:dyDescent="0.25">
      <c r="A3" s="2">
        <v>1</v>
      </c>
      <c r="B3" s="6">
        <v>192.33</v>
      </c>
      <c r="C3" s="2">
        <v>1</v>
      </c>
      <c r="D3" s="6">
        <v>192.33</v>
      </c>
      <c r="E3" s="2">
        <v>1</v>
      </c>
      <c r="F3" s="6">
        <v>206.51</v>
      </c>
      <c r="G3" s="2">
        <v>1</v>
      </c>
      <c r="H3" s="134">
        <v>43.46</v>
      </c>
      <c r="I3" s="2">
        <v>1</v>
      </c>
      <c r="J3" s="6">
        <v>2.13</v>
      </c>
      <c r="K3" s="2">
        <v>1</v>
      </c>
      <c r="L3" s="6">
        <v>5.33</v>
      </c>
      <c r="M3" s="2">
        <v>1</v>
      </c>
      <c r="O3" s="2">
        <v>1</v>
      </c>
      <c r="Q3" s="2">
        <v>1</v>
      </c>
      <c r="S3" s="2">
        <v>1</v>
      </c>
      <c r="U3" s="2">
        <v>1</v>
      </c>
      <c r="W3" s="2">
        <v>1</v>
      </c>
      <c r="X3" s="13">
        <f t="shared" si="0"/>
        <v>1.78</v>
      </c>
      <c r="Y3" s="2">
        <v>1</v>
      </c>
      <c r="AB3" s="6">
        <v>1.76</v>
      </c>
      <c r="AC3" s="6">
        <v>0.02</v>
      </c>
      <c r="AD3" s="2">
        <v>1</v>
      </c>
      <c r="AE3" s="6">
        <v>201.22</v>
      </c>
      <c r="AF3" s="2">
        <v>1</v>
      </c>
      <c r="AG3" s="6">
        <v>14.62</v>
      </c>
      <c r="AH3" s="2">
        <v>1</v>
      </c>
      <c r="AI3" s="6">
        <v>40.17</v>
      </c>
      <c r="AJ3" s="2">
        <v>1</v>
      </c>
      <c r="AK3" s="6">
        <v>192.33</v>
      </c>
      <c r="AL3" s="2">
        <v>1</v>
      </c>
      <c r="AM3" s="72">
        <f t="shared" ref="AM3:AM62" si="2">AE3+AG3+AI3</f>
        <v>256.01</v>
      </c>
      <c r="AN3" s="2">
        <v>1</v>
      </c>
      <c r="AO3" s="72">
        <f t="shared" ref="AO3:AO62" si="3">(AE3/2)+AG3+AI3</f>
        <v>155.4</v>
      </c>
      <c r="AP3" s="2">
        <v>1</v>
      </c>
      <c r="AQ3" s="73">
        <f t="shared" si="1"/>
        <v>192.33</v>
      </c>
      <c r="AR3" s="2">
        <v>1</v>
      </c>
      <c r="AS3" s="6">
        <v>0.18</v>
      </c>
    </row>
    <row r="4" spans="1:45" x14ac:dyDescent="0.25">
      <c r="A4" s="2">
        <v>2</v>
      </c>
      <c r="B4" s="6">
        <v>192.33</v>
      </c>
      <c r="C4" s="2">
        <v>2</v>
      </c>
      <c r="D4" s="6">
        <v>192.33</v>
      </c>
      <c r="E4" s="2">
        <v>2</v>
      </c>
      <c r="F4" s="6">
        <v>206.51</v>
      </c>
      <c r="G4" s="2">
        <v>2</v>
      </c>
      <c r="H4" s="134">
        <v>43.46</v>
      </c>
      <c r="I4" s="2">
        <v>2</v>
      </c>
      <c r="J4" s="6">
        <v>2.13</v>
      </c>
      <c r="K4" s="2">
        <v>2</v>
      </c>
      <c r="L4" s="6">
        <v>5.33</v>
      </c>
      <c r="M4" s="2">
        <v>2</v>
      </c>
      <c r="O4" s="2">
        <v>2</v>
      </c>
      <c r="Q4" s="2">
        <v>2</v>
      </c>
      <c r="S4" s="2">
        <v>2</v>
      </c>
      <c r="U4" s="2">
        <v>2</v>
      </c>
      <c r="W4" s="2">
        <v>2</v>
      </c>
      <c r="X4" s="13">
        <f t="shared" si="0"/>
        <v>1.78</v>
      </c>
      <c r="Y4" s="2">
        <v>2</v>
      </c>
      <c r="AB4" s="6">
        <v>1.76</v>
      </c>
      <c r="AC4" s="6">
        <v>0.02</v>
      </c>
      <c r="AD4" s="2">
        <v>2</v>
      </c>
      <c r="AE4" s="6">
        <v>201.22</v>
      </c>
      <c r="AF4" s="2">
        <v>2</v>
      </c>
      <c r="AG4" s="6">
        <v>14.62</v>
      </c>
      <c r="AH4" s="2">
        <v>2</v>
      </c>
      <c r="AI4" s="6">
        <v>40.17</v>
      </c>
      <c r="AJ4" s="2">
        <v>2</v>
      </c>
      <c r="AK4" s="6">
        <v>192.33</v>
      </c>
      <c r="AL4" s="2">
        <v>2</v>
      </c>
      <c r="AM4" s="72">
        <f t="shared" si="2"/>
        <v>256.01</v>
      </c>
      <c r="AN4" s="2">
        <v>2</v>
      </c>
      <c r="AO4" s="72">
        <f t="shared" si="3"/>
        <v>155.4</v>
      </c>
      <c r="AP4" s="2">
        <v>2</v>
      </c>
      <c r="AQ4" s="73">
        <f t="shared" si="1"/>
        <v>192.33</v>
      </c>
      <c r="AR4" s="2">
        <v>2</v>
      </c>
      <c r="AS4" s="6">
        <v>0.18</v>
      </c>
    </row>
    <row r="5" spans="1:45" x14ac:dyDescent="0.25">
      <c r="A5" s="2">
        <v>3</v>
      </c>
      <c r="B5" s="6">
        <v>192.33</v>
      </c>
      <c r="C5" s="2">
        <v>3</v>
      </c>
      <c r="D5" s="6">
        <v>192.33</v>
      </c>
      <c r="E5" s="2">
        <v>3</v>
      </c>
      <c r="F5" s="6">
        <v>206.51</v>
      </c>
      <c r="G5" s="2">
        <v>3</v>
      </c>
      <c r="H5" s="134">
        <v>43.46</v>
      </c>
      <c r="I5" s="2">
        <v>3</v>
      </c>
      <c r="J5" s="6">
        <v>2.13</v>
      </c>
      <c r="K5" s="2">
        <v>3</v>
      </c>
      <c r="L5" s="6">
        <v>5.33</v>
      </c>
      <c r="M5" s="2">
        <v>3</v>
      </c>
      <c r="O5" s="2">
        <v>3</v>
      </c>
      <c r="Q5" s="2">
        <v>3</v>
      </c>
      <c r="S5" s="2">
        <v>3</v>
      </c>
      <c r="U5" s="2">
        <v>3</v>
      </c>
      <c r="W5" s="2">
        <v>3</v>
      </c>
      <c r="X5" s="13">
        <f t="shared" si="0"/>
        <v>1.78</v>
      </c>
      <c r="Y5" s="2">
        <v>3</v>
      </c>
      <c r="AB5" s="6">
        <v>1.76</v>
      </c>
      <c r="AC5" s="6">
        <v>0.02</v>
      </c>
      <c r="AD5" s="2">
        <v>3</v>
      </c>
      <c r="AE5" s="6">
        <v>201.22</v>
      </c>
      <c r="AF5" s="2">
        <v>3</v>
      </c>
      <c r="AG5" s="6">
        <v>14.62</v>
      </c>
      <c r="AH5" s="2">
        <v>3</v>
      </c>
      <c r="AI5" s="6">
        <v>40.17</v>
      </c>
      <c r="AJ5" s="2">
        <v>3</v>
      </c>
      <c r="AK5" s="6">
        <v>192.33</v>
      </c>
      <c r="AL5" s="2">
        <v>3</v>
      </c>
      <c r="AM5" s="72">
        <f t="shared" si="2"/>
        <v>256.01</v>
      </c>
      <c r="AN5" s="2">
        <v>3</v>
      </c>
      <c r="AO5" s="72">
        <f t="shared" si="3"/>
        <v>155.4</v>
      </c>
      <c r="AP5" s="2">
        <v>3</v>
      </c>
      <c r="AQ5" s="73">
        <f t="shared" si="1"/>
        <v>192.33</v>
      </c>
      <c r="AR5" s="2">
        <v>3</v>
      </c>
      <c r="AS5" s="6">
        <v>0.18</v>
      </c>
    </row>
    <row r="6" spans="1:45" x14ac:dyDescent="0.25">
      <c r="A6" s="2">
        <v>4</v>
      </c>
      <c r="B6" s="6">
        <v>192.33</v>
      </c>
      <c r="C6" s="2">
        <v>4</v>
      </c>
      <c r="D6" s="6">
        <v>192.33</v>
      </c>
      <c r="E6" s="2">
        <v>4</v>
      </c>
      <c r="F6" s="6">
        <v>206.51</v>
      </c>
      <c r="G6" s="2">
        <v>4</v>
      </c>
      <c r="H6" s="134">
        <v>43.46</v>
      </c>
      <c r="I6" s="2">
        <v>4</v>
      </c>
      <c r="J6" s="6">
        <v>2.13</v>
      </c>
      <c r="K6" s="2">
        <v>4</v>
      </c>
      <c r="L6" s="6">
        <v>5.33</v>
      </c>
      <c r="M6" s="2">
        <v>4</v>
      </c>
      <c r="O6" s="2">
        <v>4</v>
      </c>
      <c r="Q6" s="2">
        <v>4</v>
      </c>
      <c r="S6" s="2">
        <v>4</v>
      </c>
      <c r="U6" s="2">
        <v>4</v>
      </c>
      <c r="W6" s="2">
        <v>4</v>
      </c>
      <c r="X6" s="13">
        <f t="shared" si="0"/>
        <v>1.78</v>
      </c>
      <c r="Y6" s="2">
        <v>4</v>
      </c>
      <c r="AB6" s="6">
        <v>1.76</v>
      </c>
      <c r="AC6" s="6">
        <v>0.02</v>
      </c>
      <c r="AD6" s="2">
        <v>4</v>
      </c>
      <c r="AE6" s="6">
        <v>201.22</v>
      </c>
      <c r="AF6" s="2">
        <v>4</v>
      </c>
      <c r="AG6" s="6">
        <v>14.62</v>
      </c>
      <c r="AH6" s="2">
        <v>4</v>
      </c>
      <c r="AI6" s="6">
        <v>40.17</v>
      </c>
      <c r="AJ6" s="2">
        <v>4</v>
      </c>
      <c r="AK6" s="6">
        <v>192.33</v>
      </c>
      <c r="AL6" s="2">
        <v>4</v>
      </c>
      <c r="AM6" s="72">
        <f t="shared" si="2"/>
        <v>256.01</v>
      </c>
      <c r="AN6" s="2">
        <v>4</v>
      </c>
      <c r="AO6" s="72">
        <f t="shared" si="3"/>
        <v>155.4</v>
      </c>
      <c r="AP6" s="2">
        <v>4</v>
      </c>
      <c r="AQ6" s="73">
        <f t="shared" si="1"/>
        <v>192.33</v>
      </c>
      <c r="AR6" s="2">
        <v>4</v>
      </c>
      <c r="AS6" s="6">
        <v>0.18</v>
      </c>
    </row>
    <row r="7" spans="1:45" x14ac:dyDescent="0.25">
      <c r="A7" s="2">
        <v>5</v>
      </c>
      <c r="B7" s="6">
        <v>192.33</v>
      </c>
      <c r="C7" s="2">
        <v>5</v>
      </c>
      <c r="D7" s="6">
        <v>192.33</v>
      </c>
      <c r="E7" s="2">
        <v>5</v>
      </c>
      <c r="F7" s="6">
        <v>206.51</v>
      </c>
      <c r="G7" s="2">
        <v>5</v>
      </c>
      <c r="H7" s="134">
        <v>43.46</v>
      </c>
      <c r="I7" s="2">
        <v>5</v>
      </c>
      <c r="J7" s="6">
        <v>2.13</v>
      </c>
      <c r="K7" s="2">
        <v>5</v>
      </c>
      <c r="L7" s="6">
        <v>5.33</v>
      </c>
      <c r="M7" s="2">
        <v>5</v>
      </c>
      <c r="O7" s="2">
        <v>5</v>
      </c>
      <c r="Q7" s="2">
        <v>5</v>
      </c>
      <c r="S7" s="2">
        <v>5</v>
      </c>
      <c r="U7" s="2">
        <v>5</v>
      </c>
      <c r="W7" s="2">
        <v>5</v>
      </c>
      <c r="X7" s="13">
        <f t="shared" si="0"/>
        <v>1.78</v>
      </c>
      <c r="Y7" s="2">
        <v>5</v>
      </c>
      <c r="AB7" s="6">
        <v>1.76</v>
      </c>
      <c r="AC7" s="6">
        <v>0.02</v>
      </c>
      <c r="AD7" s="2">
        <v>5</v>
      </c>
      <c r="AE7" s="6">
        <v>201.22</v>
      </c>
      <c r="AF7" s="2">
        <v>5</v>
      </c>
      <c r="AG7" s="6">
        <v>14.62</v>
      </c>
      <c r="AH7" s="2">
        <v>5</v>
      </c>
      <c r="AI7" s="6">
        <v>40.17</v>
      </c>
      <c r="AJ7" s="2">
        <v>5</v>
      </c>
      <c r="AK7" s="6">
        <v>192.33</v>
      </c>
      <c r="AL7" s="2">
        <v>5</v>
      </c>
      <c r="AM7" s="72">
        <f t="shared" si="2"/>
        <v>256.01</v>
      </c>
      <c r="AN7" s="2">
        <v>5</v>
      </c>
      <c r="AO7" s="72">
        <f t="shared" si="3"/>
        <v>155.4</v>
      </c>
      <c r="AP7" s="2">
        <v>5</v>
      </c>
      <c r="AQ7" s="73">
        <f t="shared" si="1"/>
        <v>192.33</v>
      </c>
      <c r="AR7" s="2">
        <v>5</v>
      </c>
      <c r="AS7" s="6">
        <v>0.18</v>
      </c>
    </row>
    <row r="8" spans="1:45" x14ac:dyDescent="0.25">
      <c r="A8" s="2">
        <v>6</v>
      </c>
      <c r="B8" s="6">
        <v>192.33</v>
      </c>
      <c r="C8" s="2">
        <v>6</v>
      </c>
      <c r="D8" s="6">
        <v>192.33</v>
      </c>
      <c r="E8" s="2">
        <v>6</v>
      </c>
      <c r="F8" s="6">
        <v>206.51</v>
      </c>
      <c r="G8" s="2">
        <v>6</v>
      </c>
      <c r="H8" s="134">
        <v>43.46</v>
      </c>
      <c r="I8" s="2">
        <v>6</v>
      </c>
      <c r="J8" s="6">
        <v>2.13</v>
      </c>
      <c r="K8" s="2">
        <v>6</v>
      </c>
      <c r="L8" s="6">
        <v>5.33</v>
      </c>
      <c r="M8" s="2">
        <v>6</v>
      </c>
      <c r="O8" s="2">
        <v>6</v>
      </c>
      <c r="Q8" s="2">
        <v>6</v>
      </c>
      <c r="S8" s="2">
        <v>6</v>
      </c>
      <c r="U8" s="2">
        <v>6</v>
      </c>
      <c r="W8" s="2">
        <v>6</v>
      </c>
      <c r="X8" s="13">
        <f t="shared" si="0"/>
        <v>1.78</v>
      </c>
      <c r="Y8" s="2">
        <v>6</v>
      </c>
      <c r="AB8" s="6">
        <v>1.76</v>
      </c>
      <c r="AC8" s="6">
        <v>0.02</v>
      </c>
      <c r="AD8" s="2">
        <v>6</v>
      </c>
      <c r="AE8" s="6">
        <v>201.22</v>
      </c>
      <c r="AF8" s="2">
        <v>6</v>
      </c>
      <c r="AG8" s="6">
        <v>14.62</v>
      </c>
      <c r="AH8" s="2">
        <v>6</v>
      </c>
      <c r="AI8" s="6">
        <v>40.17</v>
      </c>
      <c r="AJ8" s="2">
        <v>6</v>
      </c>
      <c r="AK8" s="6">
        <v>192.33</v>
      </c>
      <c r="AL8" s="2">
        <v>6</v>
      </c>
      <c r="AM8" s="72">
        <f t="shared" si="2"/>
        <v>256.01</v>
      </c>
      <c r="AN8" s="2">
        <v>6</v>
      </c>
      <c r="AO8" s="72">
        <f t="shared" si="3"/>
        <v>155.4</v>
      </c>
      <c r="AP8" s="2">
        <v>6</v>
      </c>
      <c r="AQ8" s="73">
        <f t="shared" si="1"/>
        <v>192.33</v>
      </c>
      <c r="AR8" s="2">
        <v>6</v>
      </c>
      <c r="AS8" s="6">
        <v>0.18</v>
      </c>
    </row>
    <row r="9" spans="1:45" x14ac:dyDescent="0.25">
      <c r="A9" s="2">
        <v>7</v>
      </c>
      <c r="B9" s="6">
        <v>192.33</v>
      </c>
      <c r="C9" s="2">
        <v>7</v>
      </c>
      <c r="D9" s="6">
        <v>192.33</v>
      </c>
      <c r="E9" s="2">
        <v>7</v>
      </c>
      <c r="F9" s="6">
        <v>206.51</v>
      </c>
      <c r="G9" s="2">
        <v>7</v>
      </c>
      <c r="H9" s="134">
        <v>43.46</v>
      </c>
      <c r="I9" s="2">
        <v>7</v>
      </c>
      <c r="J9" s="6">
        <v>2.13</v>
      </c>
      <c r="K9" s="2">
        <v>7</v>
      </c>
      <c r="L9" s="6">
        <v>5.33</v>
      </c>
      <c r="M9" s="2">
        <v>7</v>
      </c>
      <c r="O9" s="2">
        <v>7</v>
      </c>
      <c r="Q9" s="2">
        <v>7</v>
      </c>
      <c r="S9" s="2">
        <v>7</v>
      </c>
      <c r="U9" s="2">
        <v>7</v>
      </c>
      <c r="W9" s="2">
        <v>7</v>
      </c>
      <c r="X9" s="13">
        <f t="shared" si="0"/>
        <v>1.78</v>
      </c>
      <c r="Y9" s="2">
        <v>7</v>
      </c>
      <c r="AB9" s="6">
        <v>1.76</v>
      </c>
      <c r="AC9" s="6">
        <v>0.02</v>
      </c>
      <c r="AD9" s="2">
        <v>7</v>
      </c>
      <c r="AE9" s="6">
        <v>201.22</v>
      </c>
      <c r="AF9" s="2">
        <v>7</v>
      </c>
      <c r="AG9" s="6">
        <v>14.62</v>
      </c>
      <c r="AH9" s="2">
        <v>7</v>
      </c>
      <c r="AI9" s="6">
        <v>40.17</v>
      </c>
      <c r="AJ9" s="2">
        <v>7</v>
      </c>
      <c r="AK9" s="6">
        <v>192.33</v>
      </c>
      <c r="AL9" s="2">
        <v>7</v>
      </c>
      <c r="AM9" s="72">
        <f t="shared" si="2"/>
        <v>256.01</v>
      </c>
      <c r="AN9" s="2">
        <v>7</v>
      </c>
      <c r="AO9" s="72">
        <f t="shared" si="3"/>
        <v>155.4</v>
      </c>
      <c r="AP9" s="2">
        <v>7</v>
      </c>
      <c r="AQ9" s="73">
        <f t="shared" si="1"/>
        <v>192.33</v>
      </c>
      <c r="AR9" s="2">
        <v>7</v>
      </c>
      <c r="AS9" s="6">
        <v>0.18</v>
      </c>
    </row>
    <row r="10" spans="1:45" x14ac:dyDescent="0.25">
      <c r="A10" s="2">
        <v>8</v>
      </c>
      <c r="B10" s="6">
        <v>192.33</v>
      </c>
      <c r="C10" s="2">
        <v>8</v>
      </c>
      <c r="D10" s="6">
        <v>192.33</v>
      </c>
      <c r="E10" s="2">
        <v>8</v>
      </c>
      <c r="F10" s="6">
        <v>206.51</v>
      </c>
      <c r="G10" s="2">
        <v>8</v>
      </c>
      <c r="H10" s="134">
        <v>43.46</v>
      </c>
      <c r="I10" s="2">
        <v>8</v>
      </c>
      <c r="J10" s="6">
        <v>2.13</v>
      </c>
      <c r="K10" s="2">
        <v>8</v>
      </c>
      <c r="L10" s="6">
        <v>5.33</v>
      </c>
      <c r="M10" s="2">
        <v>8</v>
      </c>
      <c r="O10" s="2">
        <v>8</v>
      </c>
      <c r="Q10" s="2">
        <v>8</v>
      </c>
      <c r="S10" s="2">
        <v>8</v>
      </c>
      <c r="U10" s="2">
        <v>8</v>
      </c>
      <c r="W10" s="2">
        <v>8</v>
      </c>
      <c r="X10" s="13">
        <f t="shared" si="0"/>
        <v>1.78</v>
      </c>
      <c r="Y10" s="2">
        <v>8</v>
      </c>
      <c r="AB10" s="6">
        <v>1.76</v>
      </c>
      <c r="AC10" s="6">
        <v>0.02</v>
      </c>
      <c r="AD10" s="2">
        <v>8</v>
      </c>
      <c r="AE10" s="6">
        <v>201.22</v>
      </c>
      <c r="AF10" s="2">
        <v>8</v>
      </c>
      <c r="AG10" s="6">
        <v>14.62</v>
      </c>
      <c r="AH10" s="2">
        <v>8</v>
      </c>
      <c r="AI10" s="6">
        <v>40.17</v>
      </c>
      <c r="AJ10" s="2">
        <v>8</v>
      </c>
      <c r="AK10" s="6">
        <v>192.33</v>
      </c>
      <c r="AL10" s="2">
        <v>8</v>
      </c>
      <c r="AM10" s="72">
        <f t="shared" si="2"/>
        <v>256.01</v>
      </c>
      <c r="AN10" s="2">
        <v>8</v>
      </c>
      <c r="AO10" s="72">
        <f t="shared" si="3"/>
        <v>155.4</v>
      </c>
      <c r="AP10" s="2">
        <v>8</v>
      </c>
      <c r="AQ10" s="73">
        <f t="shared" si="1"/>
        <v>192.33</v>
      </c>
      <c r="AR10" s="2">
        <v>8</v>
      </c>
      <c r="AS10" s="6">
        <v>0.18</v>
      </c>
    </row>
    <row r="11" spans="1:45" x14ac:dyDescent="0.25">
      <c r="A11" s="2">
        <v>9</v>
      </c>
      <c r="B11" s="6">
        <v>192.33</v>
      </c>
      <c r="C11" s="2">
        <v>9</v>
      </c>
      <c r="D11" s="6">
        <v>192.33</v>
      </c>
      <c r="E11" s="2">
        <v>9</v>
      </c>
      <c r="F11" s="6">
        <v>206.51</v>
      </c>
      <c r="G11" s="2">
        <v>9</v>
      </c>
      <c r="H11" s="134">
        <v>43.46</v>
      </c>
      <c r="I11" s="2">
        <v>9</v>
      </c>
      <c r="J11" s="6">
        <v>2.13</v>
      </c>
      <c r="K11" s="2">
        <v>9</v>
      </c>
      <c r="L11" s="6">
        <v>5.33</v>
      </c>
      <c r="M11" s="2">
        <v>9</v>
      </c>
      <c r="O11" s="2">
        <v>9</v>
      </c>
      <c r="Q11" s="2">
        <v>9</v>
      </c>
      <c r="S11" s="2">
        <v>9</v>
      </c>
      <c r="U11" s="2">
        <v>9</v>
      </c>
      <c r="W11" s="2">
        <v>9</v>
      </c>
      <c r="X11" s="13">
        <f t="shared" si="0"/>
        <v>1.78</v>
      </c>
      <c r="Y11" s="2">
        <v>9</v>
      </c>
      <c r="AB11" s="6">
        <v>1.76</v>
      </c>
      <c r="AC11" s="6">
        <v>0.02</v>
      </c>
      <c r="AD11" s="2">
        <v>9</v>
      </c>
      <c r="AE11" s="6">
        <v>201.22</v>
      </c>
      <c r="AF11" s="2">
        <v>9</v>
      </c>
      <c r="AG11" s="6">
        <v>14.62</v>
      </c>
      <c r="AH11" s="2">
        <v>9</v>
      </c>
      <c r="AI11" s="6">
        <v>40.17</v>
      </c>
      <c r="AJ11" s="2">
        <v>9</v>
      </c>
      <c r="AK11" s="6">
        <v>192.33</v>
      </c>
      <c r="AL11" s="2">
        <v>9</v>
      </c>
      <c r="AM11" s="72">
        <f t="shared" si="2"/>
        <v>256.01</v>
      </c>
      <c r="AN11" s="2">
        <v>9</v>
      </c>
      <c r="AO11" s="72">
        <f t="shared" si="3"/>
        <v>155.4</v>
      </c>
      <c r="AP11" s="2">
        <v>9</v>
      </c>
      <c r="AQ11" s="73">
        <f t="shared" si="1"/>
        <v>192.33</v>
      </c>
      <c r="AR11" s="2">
        <v>9</v>
      </c>
      <c r="AS11" s="6">
        <v>0.18</v>
      </c>
    </row>
    <row r="12" spans="1:45" x14ac:dyDescent="0.25">
      <c r="A12" s="2">
        <v>10</v>
      </c>
      <c r="B12" s="6">
        <v>192.33</v>
      </c>
      <c r="C12" s="2">
        <v>10</v>
      </c>
      <c r="D12" s="6">
        <v>192.33</v>
      </c>
      <c r="E12" s="2">
        <v>10</v>
      </c>
      <c r="F12" s="6">
        <v>206.51</v>
      </c>
      <c r="G12" s="2">
        <v>10</v>
      </c>
      <c r="H12" s="134">
        <v>43.46</v>
      </c>
      <c r="I12" s="2">
        <v>10</v>
      </c>
      <c r="J12" s="6">
        <v>2.13</v>
      </c>
      <c r="K12" s="2">
        <v>10</v>
      </c>
      <c r="L12" s="6">
        <v>5.33</v>
      </c>
      <c r="M12" s="2">
        <v>10</v>
      </c>
      <c r="O12" s="2">
        <v>10</v>
      </c>
      <c r="Q12" s="2">
        <v>10</v>
      </c>
      <c r="S12" s="2">
        <v>10</v>
      </c>
      <c r="U12" s="2">
        <v>10</v>
      </c>
      <c r="W12" s="2">
        <v>10</v>
      </c>
      <c r="X12" s="13">
        <f t="shared" si="0"/>
        <v>1.78</v>
      </c>
      <c r="Y12" s="2">
        <v>10</v>
      </c>
      <c r="AB12" s="6">
        <v>1.76</v>
      </c>
      <c r="AC12" s="6">
        <v>0.02</v>
      </c>
      <c r="AD12" s="2">
        <v>10</v>
      </c>
      <c r="AE12" s="6">
        <v>201.22</v>
      </c>
      <c r="AF12" s="2">
        <v>10</v>
      </c>
      <c r="AG12" s="6">
        <v>14.62</v>
      </c>
      <c r="AH12" s="2">
        <v>10</v>
      </c>
      <c r="AI12" s="6">
        <v>40.17</v>
      </c>
      <c r="AJ12" s="2">
        <v>10</v>
      </c>
      <c r="AK12" s="6">
        <v>192.33</v>
      </c>
      <c r="AL12" s="2">
        <v>10</v>
      </c>
      <c r="AM12" s="72">
        <f t="shared" si="2"/>
        <v>256.01</v>
      </c>
      <c r="AN12" s="2">
        <v>10</v>
      </c>
      <c r="AO12" s="72">
        <f t="shared" si="3"/>
        <v>155.4</v>
      </c>
      <c r="AP12" s="2">
        <v>10</v>
      </c>
      <c r="AQ12" s="73">
        <f t="shared" si="1"/>
        <v>192.33</v>
      </c>
      <c r="AR12" s="2">
        <v>10</v>
      </c>
      <c r="AS12" s="6">
        <v>0.18</v>
      </c>
    </row>
    <row r="13" spans="1:45" x14ac:dyDescent="0.25">
      <c r="A13" s="2">
        <v>11</v>
      </c>
      <c r="B13" s="6">
        <v>192.33</v>
      </c>
      <c r="C13" s="2">
        <v>11</v>
      </c>
      <c r="D13" s="6">
        <v>192.33</v>
      </c>
      <c r="E13" s="2">
        <v>11</v>
      </c>
      <c r="F13" s="6">
        <v>206.51</v>
      </c>
      <c r="G13" s="2">
        <v>11</v>
      </c>
      <c r="H13" s="134">
        <v>43.46</v>
      </c>
      <c r="I13" s="2">
        <v>11</v>
      </c>
      <c r="J13" s="6">
        <v>2.13</v>
      </c>
      <c r="K13" s="2">
        <v>11</v>
      </c>
      <c r="L13" s="6">
        <v>5.33</v>
      </c>
      <c r="M13" s="2">
        <v>11</v>
      </c>
      <c r="O13" s="2">
        <v>11</v>
      </c>
      <c r="Q13" s="2">
        <v>11</v>
      </c>
      <c r="S13" s="2">
        <v>11</v>
      </c>
      <c r="U13" s="2">
        <v>11</v>
      </c>
      <c r="W13" s="2">
        <v>11</v>
      </c>
      <c r="X13" s="13">
        <f t="shared" si="0"/>
        <v>1.78</v>
      </c>
      <c r="Y13" s="2">
        <v>11</v>
      </c>
      <c r="AB13" s="6">
        <v>1.76</v>
      </c>
      <c r="AC13" s="6">
        <v>0.02</v>
      </c>
      <c r="AD13" s="2">
        <v>11</v>
      </c>
      <c r="AE13" s="6">
        <v>201.22</v>
      </c>
      <c r="AF13" s="2">
        <v>11</v>
      </c>
      <c r="AG13" s="6">
        <v>14.62</v>
      </c>
      <c r="AH13" s="2">
        <v>11</v>
      </c>
      <c r="AI13" s="6">
        <v>40.17</v>
      </c>
      <c r="AJ13" s="2">
        <v>11</v>
      </c>
      <c r="AK13" s="6">
        <v>192.33</v>
      </c>
      <c r="AL13" s="2">
        <v>11</v>
      </c>
      <c r="AM13" s="72">
        <f t="shared" si="2"/>
        <v>256.01</v>
      </c>
      <c r="AN13" s="2">
        <v>11</v>
      </c>
      <c r="AO13" s="72">
        <f t="shared" si="3"/>
        <v>155.4</v>
      </c>
      <c r="AP13" s="2">
        <v>11</v>
      </c>
      <c r="AQ13" s="73">
        <f t="shared" si="1"/>
        <v>192.33</v>
      </c>
      <c r="AR13" s="2">
        <v>11</v>
      </c>
      <c r="AS13" s="6">
        <v>0.18</v>
      </c>
    </row>
    <row r="14" spans="1:45" x14ac:dyDescent="0.25">
      <c r="A14" s="2">
        <v>12</v>
      </c>
      <c r="B14" s="6">
        <v>192.33</v>
      </c>
      <c r="C14" s="2">
        <v>12</v>
      </c>
      <c r="D14" s="6">
        <v>192.33</v>
      </c>
      <c r="E14" s="2">
        <v>12</v>
      </c>
      <c r="F14" s="6">
        <v>206.51</v>
      </c>
      <c r="G14" s="2">
        <v>12</v>
      </c>
      <c r="H14" s="134">
        <v>43.46</v>
      </c>
      <c r="I14" s="2">
        <v>12</v>
      </c>
      <c r="J14" s="6">
        <v>2.13</v>
      </c>
      <c r="K14" s="2">
        <v>12</v>
      </c>
      <c r="L14" s="6">
        <v>5.33</v>
      </c>
      <c r="M14" s="2">
        <v>12</v>
      </c>
      <c r="O14" s="2">
        <v>12</v>
      </c>
      <c r="Q14" s="2">
        <v>12</v>
      </c>
      <c r="S14" s="2">
        <v>12</v>
      </c>
      <c r="U14" s="2">
        <v>12</v>
      </c>
      <c r="W14" s="2">
        <v>12</v>
      </c>
      <c r="X14" s="13">
        <f t="shared" si="0"/>
        <v>1.78</v>
      </c>
      <c r="Y14" s="2">
        <v>12</v>
      </c>
      <c r="AB14" s="6">
        <v>1.76</v>
      </c>
      <c r="AC14" s="6">
        <v>0.02</v>
      </c>
      <c r="AD14" s="2">
        <v>12</v>
      </c>
      <c r="AE14" s="6">
        <v>201.22</v>
      </c>
      <c r="AF14" s="2">
        <v>12</v>
      </c>
      <c r="AG14" s="6">
        <v>14.62</v>
      </c>
      <c r="AH14" s="2">
        <v>12</v>
      </c>
      <c r="AI14" s="6">
        <v>40.17</v>
      </c>
      <c r="AJ14" s="2">
        <v>12</v>
      </c>
      <c r="AK14" s="6">
        <v>192.33</v>
      </c>
      <c r="AL14" s="2">
        <v>12</v>
      </c>
      <c r="AM14" s="72">
        <f t="shared" si="2"/>
        <v>256.01</v>
      </c>
      <c r="AN14" s="2">
        <v>12</v>
      </c>
      <c r="AO14" s="72">
        <f t="shared" si="3"/>
        <v>155.4</v>
      </c>
      <c r="AP14" s="2">
        <v>12</v>
      </c>
      <c r="AQ14" s="73">
        <f t="shared" si="1"/>
        <v>192.33</v>
      </c>
      <c r="AR14" s="2">
        <v>12</v>
      </c>
      <c r="AS14" s="6">
        <v>0.18</v>
      </c>
    </row>
    <row r="15" spans="1:45" x14ac:dyDescent="0.25">
      <c r="A15" s="2">
        <v>13</v>
      </c>
      <c r="B15" s="6">
        <v>192.33</v>
      </c>
      <c r="C15" s="2">
        <v>13</v>
      </c>
      <c r="D15" s="6">
        <v>192.33</v>
      </c>
      <c r="E15" s="2">
        <v>13</v>
      </c>
      <c r="F15" s="6">
        <v>206.51</v>
      </c>
      <c r="G15" s="2">
        <v>13</v>
      </c>
      <c r="H15" s="134">
        <v>43.46</v>
      </c>
      <c r="I15" s="2">
        <v>13</v>
      </c>
      <c r="J15" s="6">
        <v>2.13</v>
      </c>
      <c r="K15" s="2">
        <v>13</v>
      </c>
      <c r="L15" s="6">
        <v>5.33</v>
      </c>
      <c r="M15" s="2">
        <v>13</v>
      </c>
      <c r="O15" s="2">
        <v>13</v>
      </c>
      <c r="Q15" s="2">
        <v>13</v>
      </c>
      <c r="S15" s="2">
        <v>13</v>
      </c>
      <c r="U15" s="2">
        <v>13</v>
      </c>
      <c r="W15" s="2">
        <v>13</v>
      </c>
      <c r="X15" s="13">
        <f t="shared" si="0"/>
        <v>1.78</v>
      </c>
      <c r="Y15" s="2">
        <v>13</v>
      </c>
      <c r="AB15" s="6">
        <v>1.76</v>
      </c>
      <c r="AC15" s="6">
        <v>0.02</v>
      </c>
      <c r="AD15" s="2">
        <v>13</v>
      </c>
      <c r="AE15" s="6">
        <v>201.22</v>
      </c>
      <c r="AF15" s="2">
        <v>13</v>
      </c>
      <c r="AG15" s="6">
        <v>14.62</v>
      </c>
      <c r="AH15" s="2">
        <v>13</v>
      </c>
      <c r="AI15" s="6">
        <v>40.17</v>
      </c>
      <c r="AJ15" s="2">
        <v>13</v>
      </c>
      <c r="AK15" s="6">
        <v>192.33</v>
      </c>
      <c r="AL15" s="2">
        <v>13</v>
      </c>
      <c r="AM15" s="72">
        <f t="shared" si="2"/>
        <v>256.01</v>
      </c>
      <c r="AN15" s="2">
        <v>13</v>
      </c>
      <c r="AO15" s="72">
        <f t="shared" si="3"/>
        <v>155.4</v>
      </c>
      <c r="AP15" s="2">
        <v>13</v>
      </c>
      <c r="AQ15" s="73">
        <f t="shared" si="1"/>
        <v>192.33</v>
      </c>
      <c r="AR15" s="2">
        <v>13</v>
      </c>
      <c r="AS15" s="6">
        <v>0.18</v>
      </c>
    </row>
    <row r="16" spans="1:45" x14ac:dyDescent="0.25">
      <c r="A16" s="2">
        <v>14</v>
      </c>
      <c r="B16" s="6">
        <v>192.33</v>
      </c>
      <c r="C16" s="2">
        <v>14</v>
      </c>
      <c r="D16" s="6">
        <v>192.33</v>
      </c>
      <c r="E16" s="2">
        <v>14</v>
      </c>
      <c r="F16" s="6">
        <v>206.51</v>
      </c>
      <c r="G16" s="2">
        <v>14</v>
      </c>
      <c r="H16" s="134">
        <v>43.46</v>
      </c>
      <c r="I16" s="2">
        <v>14</v>
      </c>
      <c r="J16" s="6">
        <v>2.13</v>
      </c>
      <c r="K16" s="2">
        <v>14</v>
      </c>
      <c r="L16" s="6">
        <v>5.33</v>
      </c>
      <c r="M16" s="2">
        <v>14</v>
      </c>
      <c r="O16" s="2">
        <v>14</v>
      </c>
      <c r="Q16" s="2">
        <v>14</v>
      </c>
      <c r="S16" s="2">
        <v>14</v>
      </c>
      <c r="U16" s="2">
        <v>14</v>
      </c>
      <c r="W16" s="2">
        <v>14</v>
      </c>
      <c r="X16" s="13">
        <f t="shared" si="0"/>
        <v>1.78</v>
      </c>
      <c r="Y16" s="2">
        <v>14</v>
      </c>
      <c r="AB16" s="6">
        <v>1.76</v>
      </c>
      <c r="AC16" s="6">
        <v>0.02</v>
      </c>
      <c r="AD16" s="2">
        <v>14</v>
      </c>
      <c r="AE16" s="6">
        <v>201.22</v>
      </c>
      <c r="AF16" s="2">
        <v>14</v>
      </c>
      <c r="AG16" s="6">
        <v>14.62</v>
      </c>
      <c r="AH16" s="2">
        <v>14</v>
      </c>
      <c r="AI16" s="6">
        <v>40.17</v>
      </c>
      <c r="AJ16" s="2">
        <v>14</v>
      </c>
      <c r="AK16" s="6">
        <v>192.33</v>
      </c>
      <c r="AL16" s="2">
        <v>14</v>
      </c>
      <c r="AM16" s="72">
        <f t="shared" si="2"/>
        <v>256.01</v>
      </c>
      <c r="AN16" s="2">
        <v>14</v>
      </c>
      <c r="AO16" s="72">
        <f t="shared" si="3"/>
        <v>155.4</v>
      </c>
      <c r="AP16" s="2">
        <v>14</v>
      </c>
      <c r="AQ16" s="73">
        <f t="shared" si="1"/>
        <v>192.33</v>
      </c>
      <c r="AR16" s="2">
        <v>14</v>
      </c>
      <c r="AS16" s="6">
        <v>0.18</v>
      </c>
    </row>
    <row r="17" spans="1:45" x14ac:dyDescent="0.25">
      <c r="A17" s="2">
        <v>15</v>
      </c>
      <c r="B17" s="6">
        <v>192.33</v>
      </c>
      <c r="C17" s="2">
        <v>15</v>
      </c>
      <c r="D17" s="6">
        <v>192.33</v>
      </c>
      <c r="E17" s="2">
        <v>15</v>
      </c>
      <c r="F17" s="6">
        <v>241.13</v>
      </c>
      <c r="G17" s="2">
        <v>15</v>
      </c>
      <c r="H17" s="134">
        <v>43.46</v>
      </c>
      <c r="I17" s="2">
        <v>15</v>
      </c>
      <c r="J17" s="6">
        <v>7.96</v>
      </c>
      <c r="K17" s="2">
        <v>15</v>
      </c>
      <c r="L17" s="6">
        <v>9.7100000000000009</v>
      </c>
      <c r="M17" s="2">
        <v>15</v>
      </c>
      <c r="N17" s="6">
        <v>6.92</v>
      </c>
      <c r="O17" s="2">
        <v>15</v>
      </c>
      <c r="P17" s="6">
        <v>4.95</v>
      </c>
      <c r="Q17" s="2">
        <v>15</v>
      </c>
      <c r="R17" s="6">
        <v>2.2200000000000002</v>
      </c>
      <c r="S17" s="2">
        <v>15</v>
      </c>
      <c r="U17" s="2">
        <v>15</v>
      </c>
      <c r="W17" s="2">
        <v>15</v>
      </c>
      <c r="X17" s="13">
        <f t="shared" si="0"/>
        <v>1.25</v>
      </c>
      <c r="Y17" s="2">
        <v>15</v>
      </c>
      <c r="AB17" s="6">
        <v>1.22</v>
      </c>
      <c r="AC17" s="6">
        <v>0.03</v>
      </c>
      <c r="AD17" s="2">
        <v>15</v>
      </c>
      <c r="AE17" s="6">
        <v>216.21</v>
      </c>
      <c r="AF17" s="2">
        <v>15</v>
      </c>
      <c r="AG17" s="6">
        <v>26.8</v>
      </c>
      <c r="AH17" s="2">
        <v>15</v>
      </c>
      <c r="AI17" s="6">
        <v>45.91</v>
      </c>
      <c r="AJ17" s="2">
        <v>15</v>
      </c>
      <c r="AK17" s="6">
        <v>192.33</v>
      </c>
      <c r="AL17" s="2">
        <v>15</v>
      </c>
      <c r="AM17" s="72">
        <f t="shared" si="2"/>
        <v>288.92</v>
      </c>
      <c r="AN17" s="2">
        <v>15</v>
      </c>
      <c r="AO17" s="72">
        <f t="shared" si="3"/>
        <v>180.815</v>
      </c>
      <c r="AP17" s="2">
        <v>15</v>
      </c>
      <c r="AQ17" s="73">
        <f t="shared" si="1"/>
        <v>192.33</v>
      </c>
      <c r="AR17" s="2">
        <v>15</v>
      </c>
      <c r="AS17" s="6">
        <v>0.18</v>
      </c>
    </row>
    <row r="18" spans="1:45" x14ac:dyDescent="0.25">
      <c r="A18" s="2">
        <v>16</v>
      </c>
      <c r="B18" s="6">
        <v>192.33</v>
      </c>
      <c r="C18" s="2">
        <v>16</v>
      </c>
      <c r="D18" s="6">
        <v>192.33</v>
      </c>
      <c r="E18" s="2">
        <v>16</v>
      </c>
      <c r="F18" s="6">
        <v>241.13</v>
      </c>
      <c r="G18" s="2">
        <v>16</v>
      </c>
      <c r="H18" s="134">
        <v>43.46</v>
      </c>
      <c r="I18" s="2">
        <v>16</v>
      </c>
      <c r="J18" s="6">
        <v>7.96</v>
      </c>
      <c r="K18" s="2">
        <v>16</v>
      </c>
      <c r="L18" s="6">
        <v>9.7100000000000009</v>
      </c>
      <c r="M18" s="2">
        <v>16</v>
      </c>
      <c r="N18" s="6">
        <v>6.92</v>
      </c>
      <c r="O18" s="2">
        <v>16</v>
      </c>
      <c r="P18" s="6">
        <v>4.95</v>
      </c>
      <c r="Q18" s="2">
        <v>16</v>
      </c>
      <c r="R18" s="6">
        <v>2.2200000000000002</v>
      </c>
      <c r="S18" s="2">
        <v>16</v>
      </c>
      <c r="U18" s="2">
        <v>16</v>
      </c>
      <c r="W18" s="2">
        <v>16</v>
      </c>
      <c r="X18" s="13">
        <f t="shared" si="0"/>
        <v>1.25</v>
      </c>
      <c r="Y18" s="2">
        <v>16</v>
      </c>
      <c r="AB18" s="6">
        <v>1.22</v>
      </c>
      <c r="AC18" s="6">
        <v>0.03</v>
      </c>
      <c r="AD18" s="2">
        <v>16</v>
      </c>
      <c r="AE18" s="6">
        <v>216.21</v>
      </c>
      <c r="AF18" s="2">
        <v>16</v>
      </c>
      <c r="AG18" s="6">
        <v>26.8</v>
      </c>
      <c r="AH18" s="2">
        <v>16</v>
      </c>
      <c r="AI18" s="6">
        <v>45.91</v>
      </c>
      <c r="AJ18" s="2">
        <v>16</v>
      </c>
      <c r="AK18" s="6">
        <v>192.33</v>
      </c>
      <c r="AL18" s="2">
        <v>16</v>
      </c>
      <c r="AM18" s="72">
        <f t="shared" si="2"/>
        <v>288.92</v>
      </c>
      <c r="AN18" s="2">
        <v>16</v>
      </c>
      <c r="AO18" s="72">
        <f t="shared" si="3"/>
        <v>180.815</v>
      </c>
      <c r="AP18" s="2">
        <v>16</v>
      </c>
      <c r="AQ18" s="73">
        <f t="shared" si="1"/>
        <v>192.33</v>
      </c>
      <c r="AR18" s="2">
        <v>16</v>
      </c>
      <c r="AS18" s="6">
        <v>0.18</v>
      </c>
    </row>
    <row r="19" spans="1:45" x14ac:dyDescent="0.25">
      <c r="A19" s="2">
        <v>17</v>
      </c>
      <c r="B19" s="6">
        <v>192.33</v>
      </c>
      <c r="C19" s="2">
        <v>17</v>
      </c>
      <c r="D19" s="6">
        <v>192.33</v>
      </c>
      <c r="E19" s="2">
        <v>17</v>
      </c>
      <c r="F19" s="6">
        <v>241.13</v>
      </c>
      <c r="G19" s="2">
        <v>17</v>
      </c>
      <c r="H19" s="134">
        <v>43.46</v>
      </c>
      <c r="I19" s="2">
        <v>17</v>
      </c>
      <c r="J19" s="6">
        <v>7.96</v>
      </c>
      <c r="K19" s="2">
        <v>17</v>
      </c>
      <c r="L19" s="6">
        <v>9.7100000000000009</v>
      </c>
      <c r="M19" s="2">
        <v>17</v>
      </c>
      <c r="N19" s="6">
        <v>6.92</v>
      </c>
      <c r="O19" s="2">
        <v>17</v>
      </c>
      <c r="P19" s="6">
        <v>4.95</v>
      </c>
      <c r="Q19" s="2">
        <v>17</v>
      </c>
      <c r="R19" s="6">
        <v>2.2200000000000002</v>
      </c>
      <c r="S19" s="2">
        <v>17</v>
      </c>
      <c r="U19" s="2">
        <v>17</v>
      </c>
      <c r="W19" s="2">
        <v>17</v>
      </c>
      <c r="X19" s="13">
        <f t="shared" si="0"/>
        <v>1.25</v>
      </c>
      <c r="Y19" s="2">
        <v>17</v>
      </c>
      <c r="AB19" s="6">
        <v>1.22</v>
      </c>
      <c r="AC19" s="6">
        <v>0.03</v>
      </c>
      <c r="AD19" s="2">
        <v>17</v>
      </c>
      <c r="AE19" s="6">
        <v>216.21</v>
      </c>
      <c r="AF19" s="2">
        <v>17</v>
      </c>
      <c r="AG19" s="6">
        <v>26.8</v>
      </c>
      <c r="AH19" s="2">
        <v>17</v>
      </c>
      <c r="AI19" s="6">
        <v>45.91</v>
      </c>
      <c r="AJ19" s="2">
        <v>17</v>
      </c>
      <c r="AK19" s="6">
        <v>192.33</v>
      </c>
      <c r="AL19" s="2">
        <v>17</v>
      </c>
      <c r="AM19" s="72">
        <f t="shared" si="2"/>
        <v>288.92</v>
      </c>
      <c r="AN19" s="2">
        <v>17</v>
      </c>
      <c r="AO19" s="72">
        <f t="shared" si="3"/>
        <v>180.815</v>
      </c>
      <c r="AP19" s="2">
        <v>17</v>
      </c>
      <c r="AQ19" s="73">
        <f t="shared" si="1"/>
        <v>192.33</v>
      </c>
      <c r="AR19" s="2">
        <v>17</v>
      </c>
      <c r="AS19" s="6">
        <v>0.18</v>
      </c>
    </row>
    <row r="20" spans="1:45" x14ac:dyDescent="0.25">
      <c r="A20" s="2">
        <v>18</v>
      </c>
      <c r="B20" s="6">
        <v>192.33</v>
      </c>
      <c r="C20" s="2">
        <v>18</v>
      </c>
      <c r="D20" s="6">
        <v>192.33</v>
      </c>
      <c r="E20" s="2">
        <v>18</v>
      </c>
      <c r="F20" s="6">
        <v>241.13</v>
      </c>
      <c r="G20" s="2">
        <v>18</v>
      </c>
      <c r="H20" s="134">
        <v>43.46</v>
      </c>
      <c r="I20" s="2">
        <v>18</v>
      </c>
      <c r="J20" s="6">
        <v>7.96</v>
      </c>
      <c r="K20" s="2">
        <v>18</v>
      </c>
      <c r="L20" s="6">
        <v>9.7100000000000009</v>
      </c>
      <c r="M20" s="2">
        <v>18</v>
      </c>
      <c r="N20" s="6">
        <v>6.92</v>
      </c>
      <c r="O20" s="2">
        <v>18</v>
      </c>
      <c r="P20" s="6">
        <v>4.95</v>
      </c>
      <c r="Q20" s="2">
        <v>18</v>
      </c>
      <c r="R20" s="6">
        <v>2.2200000000000002</v>
      </c>
      <c r="S20" s="2">
        <v>18</v>
      </c>
      <c r="U20" s="2">
        <v>18</v>
      </c>
      <c r="W20" s="2">
        <v>18</v>
      </c>
      <c r="X20" s="13">
        <f t="shared" si="0"/>
        <v>1.25</v>
      </c>
      <c r="Y20" s="2">
        <v>18</v>
      </c>
      <c r="AB20" s="6">
        <v>1.22</v>
      </c>
      <c r="AC20" s="6">
        <v>0.03</v>
      </c>
      <c r="AD20" s="2">
        <v>18</v>
      </c>
      <c r="AE20" s="6">
        <v>216.21</v>
      </c>
      <c r="AF20" s="2">
        <v>18</v>
      </c>
      <c r="AG20" s="6">
        <v>26.8</v>
      </c>
      <c r="AH20" s="2">
        <v>18</v>
      </c>
      <c r="AI20" s="6">
        <v>45.91</v>
      </c>
      <c r="AJ20" s="2">
        <v>18</v>
      </c>
      <c r="AK20" s="6">
        <v>192.33</v>
      </c>
      <c r="AL20" s="2">
        <v>18</v>
      </c>
      <c r="AM20" s="72">
        <f t="shared" si="2"/>
        <v>288.92</v>
      </c>
      <c r="AN20" s="2">
        <v>18</v>
      </c>
      <c r="AO20" s="72">
        <f t="shared" si="3"/>
        <v>180.815</v>
      </c>
      <c r="AP20" s="2">
        <v>18</v>
      </c>
      <c r="AQ20" s="73">
        <f t="shared" si="1"/>
        <v>192.33</v>
      </c>
      <c r="AR20" s="2">
        <v>18</v>
      </c>
      <c r="AS20" s="6">
        <v>0.18</v>
      </c>
    </row>
    <row r="21" spans="1:45" x14ac:dyDescent="0.25">
      <c r="A21" s="2">
        <v>19</v>
      </c>
      <c r="B21" s="6">
        <v>192.33</v>
      </c>
      <c r="C21" s="2">
        <v>19</v>
      </c>
      <c r="D21" s="6">
        <v>192.33</v>
      </c>
      <c r="E21" s="2">
        <v>19</v>
      </c>
      <c r="F21" s="6">
        <v>241.13</v>
      </c>
      <c r="G21" s="2">
        <v>19</v>
      </c>
      <c r="H21" s="134">
        <v>44.54</v>
      </c>
      <c r="I21" s="2">
        <v>19</v>
      </c>
      <c r="J21" s="6">
        <v>7.96</v>
      </c>
      <c r="K21" s="2">
        <v>19</v>
      </c>
      <c r="L21" s="6">
        <v>9.7100000000000009</v>
      </c>
      <c r="M21" s="2">
        <v>19</v>
      </c>
      <c r="N21" s="6">
        <v>6.92</v>
      </c>
      <c r="O21" s="2">
        <v>19</v>
      </c>
      <c r="P21" s="6">
        <v>4.95</v>
      </c>
      <c r="Q21" s="2">
        <v>19</v>
      </c>
      <c r="R21" s="6">
        <v>2.2200000000000002</v>
      </c>
      <c r="S21" s="2">
        <v>19</v>
      </c>
      <c r="U21" s="2">
        <v>19</v>
      </c>
      <c r="W21" s="2">
        <v>19</v>
      </c>
      <c r="X21" s="13">
        <f t="shared" si="0"/>
        <v>1.25</v>
      </c>
      <c r="Y21" s="2">
        <v>19</v>
      </c>
      <c r="AB21" s="6">
        <v>1.22</v>
      </c>
      <c r="AC21" s="6">
        <v>0.03</v>
      </c>
      <c r="AD21" s="2">
        <v>19</v>
      </c>
      <c r="AE21" s="6">
        <v>216.21</v>
      </c>
      <c r="AF21" s="2">
        <v>19</v>
      </c>
      <c r="AG21" s="6">
        <v>26.8</v>
      </c>
      <c r="AH21" s="2">
        <v>19</v>
      </c>
      <c r="AI21" s="6">
        <v>45.91</v>
      </c>
      <c r="AJ21" s="2">
        <v>19</v>
      </c>
      <c r="AK21" s="6">
        <v>192.33</v>
      </c>
      <c r="AL21" s="2">
        <v>19</v>
      </c>
      <c r="AM21" s="72">
        <f t="shared" si="2"/>
        <v>288.92</v>
      </c>
      <c r="AN21" s="2">
        <v>19</v>
      </c>
      <c r="AO21" s="72">
        <f t="shared" si="3"/>
        <v>180.815</v>
      </c>
      <c r="AP21" s="2">
        <v>19</v>
      </c>
      <c r="AQ21" s="73">
        <f t="shared" si="1"/>
        <v>192.33</v>
      </c>
      <c r="AR21" s="2">
        <v>19</v>
      </c>
      <c r="AS21" s="6">
        <v>0.18</v>
      </c>
    </row>
    <row r="22" spans="1:45" x14ac:dyDescent="0.25">
      <c r="A22" s="2">
        <v>20</v>
      </c>
      <c r="B22" s="6">
        <v>242.9</v>
      </c>
      <c r="C22" s="2">
        <v>20</v>
      </c>
      <c r="D22" s="6">
        <v>174.88</v>
      </c>
      <c r="E22" s="2">
        <v>20</v>
      </c>
      <c r="F22" s="6">
        <v>308.7</v>
      </c>
      <c r="G22" s="2">
        <v>20</v>
      </c>
      <c r="H22" s="134">
        <v>45.69</v>
      </c>
      <c r="I22" s="2">
        <v>20</v>
      </c>
      <c r="J22" s="6">
        <v>20.14</v>
      </c>
      <c r="K22" s="2">
        <v>20</v>
      </c>
      <c r="L22" s="6">
        <v>24.46</v>
      </c>
      <c r="M22" s="2">
        <v>20</v>
      </c>
      <c r="N22" s="6">
        <v>6.92</v>
      </c>
      <c r="O22" s="2">
        <v>20</v>
      </c>
      <c r="P22" s="6">
        <v>4.95</v>
      </c>
      <c r="Q22" s="2">
        <v>20</v>
      </c>
      <c r="R22" s="6">
        <v>2.2200000000000002</v>
      </c>
      <c r="S22" s="2">
        <v>20</v>
      </c>
      <c r="T22" s="6">
        <v>1.39</v>
      </c>
      <c r="U22" s="2">
        <v>20</v>
      </c>
      <c r="V22" s="6">
        <v>1.49</v>
      </c>
      <c r="W22" s="2">
        <v>20</v>
      </c>
      <c r="X22" s="13">
        <f t="shared" si="0"/>
        <v>2.29</v>
      </c>
      <c r="Y22" s="2">
        <v>20</v>
      </c>
      <c r="Z22" s="6">
        <v>5.18</v>
      </c>
      <c r="AB22" s="6">
        <v>1.26</v>
      </c>
      <c r="AC22" s="6">
        <v>1.03</v>
      </c>
      <c r="AD22" s="2">
        <v>20</v>
      </c>
      <c r="AE22" s="6">
        <v>314</v>
      </c>
      <c r="AF22" s="2">
        <v>20</v>
      </c>
      <c r="AG22" s="6">
        <v>36.85</v>
      </c>
      <c r="AH22" s="2">
        <v>20</v>
      </c>
      <c r="AI22" s="6">
        <v>82.71</v>
      </c>
      <c r="AJ22" s="2">
        <v>20</v>
      </c>
      <c r="AK22" s="6">
        <v>281.72000000000003</v>
      </c>
      <c r="AL22" s="2">
        <v>20</v>
      </c>
      <c r="AM22" s="72">
        <f t="shared" si="2"/>
        <v>433.56</v>
      </c>
      <c r="AN22" s="2">
        <v>20</v>
      </c>
      <c r="AO22" s="72">
        <f t="shared" si="3"/>
        <v>276.56</v>
      </c>
      <c r="AP22" s="2">
        <v>20</v>
      </c>
      <c r="AQ22" s="73">
        <f t="shared" ref="AQ22:AQ62" si="4">AK22-83.333333333333</f>
        <v>198.38666666666703</v>
      </c>
      <c r="AR22" s="2">
        <v>20</v>
      </c>
      <c r="AS22" s="6">
        <v>0.19</v>
      </c>
    </row>
    <row r="23" spans="1:45" x14ac:dyDescent="0.25">
      <c r="A23" s="2">
        <v>21</v>
      </c>
      <c r="B23" s="6">
        <v>249.76</v>
      </c>
      <c r="C23" s="2">
        <v>21</v>
      </c>
      <c r="D23" s="6">
        <v>179.46</v>
      </c>
      <c r="E23" s="2">
        <v>21</v>
      </c>
      <c r="F23" s="6">
        <v>322.13</v>
      </c>
      <c r="G23" s="2">
        <v>21</v>
      </c>
      <c r="H23" s="134">
        <v>46.92</v>
      </c>
      <c r="I23" s="2">
        <v>21</v>
      </c>
      <c r="J23" s="6">
        <v>20.29</v>
      </c>
      <c r="K23" s="2">
        <v>21</v>
      </c>
      <c r="L23" s="6">
        <v>25.12</v>
      </c>
      <c r="M23" s="2">
        <v>21</v>
      </c>
      <c r="N23" s="6">
        <v>7.02</v>
      </c>
      <c r="O23" s="2">
        <v>21</v>
      </c>
      <c r="P23" s="6">
        <v>5.0199999999999996</v>
      </c>
      <c r="Q23" s="2">
        <v>21</v>
      </c>
      <c r="R23" s="6">
        <v>2.31</v>
      </c>
      <c r="S23" s="2">
        <v>21</v>
      </c>
      <c r="T23" s="6">
        <v>1.49</v>
      </c>
      <c r="U23" s="2">
        <v>21</v>
      </c>
      <c r="V23" s="6">
        <v>1.57</v>
      </c>
      <c r="W23" s="2">
        <v>21</v>
      </c>
      <c r="X23" s="13">
        <f t="shared" si="0"/>
        <v>2.41</v>
      </c>
      <c r="Y23" s="2">
        <v>21</v>
      </c>
      <c r="Z23" s="6">
        <v>5.18</v>
      </c>
      <c r="AB23" s="6">
        <v>1.31</v>
      </c>
      <c r="AC23" s="6">
        <v>1.1000000000000001</v>
      </c>
      <c r="AD23" s="2">
        <v>21</v>
      </c>
      <c r="AE23" s="6">
        <v>321.54000000000002</v>
      </c>
      <c r="AF23" s="2">
        <v>21</v>
      </c>
      <c r="AG23" s="6">
        <v>37.17</v>
      </c>
      <c r="AH23" s="2">
        <v>21</v>
      </c>
      <c r="AI23" s="6">
        <v>85.27</v>
      </c>
      <c r="AJ23" s="2">
        <v>21</v>
      </c>
      <c r="AK23" s="6">
        <v>286.08999999999997</v>
      </c>
      <c r="AL23" s="2">
        <v>21</v>
      </c>
      <c r="AM23" s="72">
        <f t="shared" si="2"/>
        <v>443.98</v>
      </c>
      <c r="AN23" s="2">
        <v>21</v>
      </c>
      <c r="AO23" s="72">
        <f t="shared" si="3"/>
        <v>283.20999999999998</v>
      </c>
      <c r="AP23" s="2">
        <v>21</v>
      </c>
      <c r="AQ23" s="73">
        <f t="shared" si="4"/>
        <v>202.75666666666697</v>
      </c>
      <c r="AR23" s="2">
        <v>21</v>
      </c>
      <c r="AS23" s="6">
        <v>0.2</v>
      </c>
    </row>
    <row r="24" spans="1:45" x14ac:dyDescent="0.25">
      <c r="A24" s="2">
        <v>22</v>
      </c>
      <c r="B24" s="6">
        <v>256.66000000000003</v>
      </c>
      <c r="C24" s="2">
        <v>22</v>
      </c>
      <c r="D24" s="6">
        <v>184.18</v>
      </c>
      <c r="E24" s="2">
        <v>22</v>
      </c>
      <c r="F24" s="6">
        <v>334.79</v>
      </c>
      <c r="G24" s="2">
        <v>22</v>
      </c>
      <c r="H24" s="134">
        <v>48.14</v>
      </c>
      <c r="I24" s="2">
        <v>22</v>
      </c>
      <c r="J24" s="6">
        <v>20.46</v>
      </c>
      <c r="K24" s="2">
        <v>22</v>
      </c>
      <c r="L24" s="6">
        <v>25.78</v>
      </c>
      <c r="M24" s="2">
        <v>22</v>
      </c>
      <c r="N24" s="6">
        <v>7.13</v>
      </c>
      <c r="O24" s="2">
        <v>22</v>
      </c>
      <c r="P24" s="6">
        <v>5.09</v>
      </c>
      <c r="Q24" s="2">
        <v>22</v>
      </c>
      <c r="R24" s="6">
        <v>2.41</v>
      </c>
      <c r="S24" s="2">
        <v>22</v>
      </c>
      <c r="T24" s="6">
        <v>1.58</v>
      </c>
      <c r="U24" s="2">
        <v>22</v>
      </c>
      <c r="V24" s="6">
        <v>1.65</v>
      </c>
      <c r="W24" s="2">
        <v>22</v>
      </c>
      <c r="X24" s="13">
        <f t="shared" si="0"/>
        <v>2.5499999999999998</v>
      </c>
      <c r="Y24" s="2">
        <v>22</v>
      </c>
      <c r="Z24" s="6">
        <v>5.18</v>
      </c>
      <c r="AB24" s="6">
        <v>1.37</v>
      </c>
      <c r="AC24" s="6">
        <v>1.18</v>
      </c>
      <c r="AD24" s="2">
        <v>22</v>
      </c>
      <c r="AE24" s="6">
        <v>328.64</v>
      </c>
      <c r="AF24" s="2">
        <v>22</v>
      </c>
      <c r="AG24" s="6">
        <v>37.479999999999997</v>
      </c>
      <c r="AH24" s="2">
        <v>22</v>
      </c>
      <c r="AI24" s="6">
        <v>87.85</v>
      </c>
      <c r="AJ24" s="2">
        <v>22</v>
      </c>
      <c r="AK24" s="6">
        <v>290.58999999999997</v>
      </c>
      <c r="AL24" s="2">
        <v>22</v>
      </c>
      <c r="AM24" s="72">
        <f t="shared" si="2"/>
        <v>453.97</v>
      </c>
      <c r="AN24" s="2">
        <v>22</v>
      </c>
      <c r="AO24" s="72">
        <f t="shared" si="3"/>
        <v>289.64999999999998</v>
      </c>
      <c r="AP24" s="2">
        <v>22</v>
      </c>
      <c r="AQ24" s="73">
        <f t="shared" si="4"/>
        <v>207.25666666666697</v>
      </c>
      <c r="AR24" s="2">
        <v>22</v>
      </c>
      <c r="AS24" s="6">
        <v>0.2</v>
      </c>
    </row>
    <row r="25" spans="1:45" x14ac:dyDescent="0.25">
      <c r="A25" s="2">
        <v>23</v>
      </c>
      <c r="B25" s="6">
        <v>263.60000000000002</v>
      </c>
      <c r="C25" s="2">
        <v>23</v>
      </c>
      <c r="D25" s="6">
        <v>189.03</v>
      </c>
      <c r="E25" s="2">
        <v>23</v>
      </c>
      <c r="F25" s="6">
        <v>346.69</v>
      </c>
      <c r="G25" s="2">
        <v>23</v>
      </c>
      <c r="H25" s="134">
        <v>49.39</v>
      </c>
      <c r="I25" s="2">
        <v>23</v>
      </c>
      <c r="J25" s="6">
        <v>20.63</v>
      </c>
      <c r="K25" s="2">
        <v>23</v>
      </c>
      <c r="L25" s="6">
        <v>26.45</v>
      </c>
      <c r="M25" s="2">
        <v>23</v>
      </c>
      <c r="N25" s="6">
        <v>7.25</v>
      </c>
      <c r="O25" s="2">
        <v>23</v>
      </c>
      <c r="P25" s="6">
        <v>5.18</v>
      </c>
      <c r="Q25" s="2">
        <v>23</v>
      </c>
      <c r="R25" s="6">
        <v>2.5</v>
      </c>
      <c r="S25" s="2">
        <v>23</v>
      </c>
      <c r="T25" s="6">
        <v>1.68</v>
      </c>
      <c r="U25" s="2">
        <v>23</v>
      </c>
      <c r="V25" s="6">
        <v>1.73</v>
      </c>
      <c r="W25" s="2">
        <v>23</v>
      </c>
      <c r="X25" s="13">
        <f t="shared" si="0"/>
        <v>2.7</v>
      </c>
      <c r="Y25" s="2">
        <v>23</v>
      </c>
      <c r="Z25" s="6">
        <v>5.18</v>
      </c>
      <c r="AB25" s="6">
        <v>1.44</v>
      </c>
      <c r="AC25" s="6">
        <v>1.26</v>
      </c>
      <c r="AD25" s="2">
        <v>23</v>
      </c>
      <c r="AE25" s="6">
        <v>335.35</v>
      </c>
      <c r="AF25" s="2">
        <v>23</v>
      </c>
      <c r="AG25" s="6">
        <v>37.76</v>
      </c>
      <c r="AH25" s="2">
        <v>23</v>
      </c>
      <c r="AI25" s="6">
        <v>90.43</v>
      </c>
      <c r="AJ25" s="2">
        <v>23</v>
      </c>
      <c r="AK25" s="6">
        <v>295.23</v>
      </c>
      <c r="AL25" s="2">
        <v>23</v>
      </c>
      <c r="AM25" s="72">
        <f t="shared" si="2"/>
        <v>463.54</v>
      </c>
      <c r="AN25" s="2">
        <v>23</v>
      </c>
      <c r="AO25" s="72">
        <f t="shared" si="3"/>
        <v>295.86500000000001</v>
      </c>
      <c r="AP25" s="2">
        <v>23</v>
      </c>
      <c r="AQ25" s="73">
        <f t="shared" si="4"/>
        <v>211.89666666666702</v>
      </c>
      <c r="AR25" s="2">
        <v>23</v>
      </c>
      <c r="AS25" s="6">
        <v>0.21</v>
      </c>
    </row>
    <row r="26" spans="1:45" x14ac:dyDescent="0.25">
      <c r="A26" s="2">
        <v>24</v>
      </c>
      <c r="B26" s="6">
        <v>270.57</v>
      </c>
      <c r="C26" s="2">
        <v>24</v>
      </c>
      <c r="D26" s="6">
        <v>194</v>
      </c>
      <c r="E26" s="2">
        <v>24</v>
      </c>
      <c r="F26" s="6">
        <v>357.83</v>
      </c>
      <c r="G26" s="2">
        <v>24</v>
      </c>
      <c r="H26" s="134">
        <v>50.66</v>
      </c>
      <c r="I26" s="2">
        <v>24</v>
      </c>
      <c r="J26" s="6">
        <v>20.8</v>
      </c>
      <c r="K26" s="2">
        <v>24</v>
      </c>
      <c r="L26" s="6">
        <v>27.12</v>
      </c>
      <c r="M26" s="2">
        <v>24</v>
      </c>
      <c r="N26" s="6">
        <v>7.37</v>
      </c>
      <c r="O26" s="2">
        <v>24</v>
      </c>
      <c r="P26" s="6">
        <v>5.27</v>
      </c>
      <c r="Q26" s="2">
        <v>24</v>
      </c>
      <c r="R26" s="6">
        <v>2.6</v>
      </c>
      <c r="S26" s="2">
        <v>24</v>
      </c>
      <c r="T26" s="6">
        <v>1.77</v>
      </c>
      <c r="U26" s="2">
        <v>24</v>
      </c>
      <c r="V26" s="6">
        <v>1.82</v>
      </c>
      <c r="W26" s="2">
        <v>24</v>
      </c>
      <c r="X26" s="13">
        <f t="shared" si="0"/>
        <v>2.85</v>
      </c>
      <c r="Y26" s="2">
        <v>24</v>
      </c>
      <c r="Z26" s="6">
        <v>5.18</v>
      </c>
      <c r="AB26" s="6">
        <v>1.51</v>
      </c>
      <c r="AC26" s="6">
        <v>1.34</v>
      </c>
      <c r="AD26" s="2">
        <v>24</v>
      </c>
      <c r="AE26" s="6">
        <v>341.69</v>
      </c>
      <c r="AF26" s="2">
        <v>24</v>
      </c>
      <c r="AG26" s="6">
        <v>38.03</v>
      </c>
      <c r="AH26" s="2">
        <v>24</v>
      </c>
      <c r="AI26" s="6">
        <v>93.02</v>
      </c>
      <c r="AJ26" s="2">
        <v>24</v>
      </c>
      <c r="AK26" s="6">
        <v>300</v>
      </c>
      <c r="AL26" s="2">
        <v>24</v>
      </c>
      <c r="AM26" s="72">
        <f t="shared" si="2"/>
        <v>472.74</v>
      </c>
      <c r="AN26" s="2">
        <v>24</v>
      </c>
      <c r="AO26" s="72">
        <f t="shared" si="3"/>
        <v>301.89499999999998</v>
      </c>
      <c r="AP26" s="2">
        <v>24</v>
      </c>
      <c r="AQ26" s="73">
        <f t="shared" si="4"/>
        <v>216.666666666667</v>
      </c>
      <c r="AR26" s="2">
        <v>24</v>
      </c>
      <c r="AS26" s="6">
        <v>0.22</v>
      </c>
    </row>
    <row r="27" spans="1:45" x14ac:dyDescent="0.25">
      <c r="A27" s="2">
        <v>25</v>
      </c>
      <c r="B27" s="6">
        <v>277.58</v>
      </c>
      <c r="C27" s="2">
        <v>25</v>
      </c>
      <c r="D27" s="6">
        <v>199.1</v>
      </c>
      <c r="E27" s="2">
        <v>25</v>
      </c>
      <c r="F27" s="6">
        <v>368.24</v>
      </c>
      <c r="G27" s="2">
        <v>25</v>
      </c>
      <c r="H27" s="134">
        <v>51.94</v>
      </c>
      <c r="I27" s="2">
        <v>25</v>
      </c>
      <c r="J27" s="6">
        <v>20.98</v>
      </c>
      <c r="K27" s="2">
        <v>25</v>
      </c>
      <c r="L27" s="6">
        <v>27.81</v>
      </c>
      <c r="M27" s="2">
        <v>25</v>
      </c>
      <c r="N27" s="6">
        <v>7.51</v>
      </c>
      <c r="O27" s="2">
        <v>25</v>
      </c>
      <c r="P27" s="6">
        <v>5.36</v>
      </c>
      <c r="Q27" s="2">
        <v>25</v>
      </c>
      <c r="R27" s="6">
        <v>2.71</v>
      </c>
      <c r="S27" s="2">
        <v>25</v>
      </c>
      <c r="T27" s="6">
        <v>1.87</v>
      </c>
      <c r="U27" s="2">
        <v>25</v>
      </c>
      <c r="V27" s="6">
        <v>1.9</v>
      </c>
      <c r="W27" s="2">
        <v>25</v>
      </c>
      <c r="X27" s="13">
        <f t="shared" si="0"/>
        <v>3</v>
      </c>
      <c r="Y27" s="2">
        <v>25</v>
      </c>
      <c r="Z27" s="6">
        <v>5.18</v>
      </c>
      <c r="AB27" s="6">
        <v>1.58</v>
      </c>
      <c r="AC27" s="6">
        <v>1.42</v>
      </c>
      <c r="AD27" s="2">
        <v>25</v>
      </c>
      <c r="AE27" s="6">
        <v>347.66</v>
      </c>
      <c r="AF27" s="2">
        <v>25</v>
      </c>
      <c r="AG27" s="6">
        <v>38.270000000000003</v>
      </c>
      <c r="AH27" s="2">
        <v>25</v>
      </c>
      <c r="AI27" s="6">
        <v>95.62</v>
      </c>
      <c r="AJ27" s="2">
        <v>25</v>
      </c>
      <c r="AK27" s="6">
        <v>304.91000000000003</v>
      </c>
      <c r="AL27" s="2">
        <v>25</v>
      </c>
      <c r="AM27" s="72">
        <f t="shared" si="2"/>
        <v>481.55</v>
      </c>
      <c r="AN27" s="2">
        <v>25</v>
      </c>
      <c r="AO27" s="72">
        <f t="shared" si="3"/>
        <v>307.72000000000003</v>
      </c>
      <c r="AP27" s="2">
        <v>25</v>
      </c>
      <c r="AQ27" s="73">
        <f t="shared" si="4"/>
        <v>221.57666666666702</v>
      </c>
      <c r="AR27" s="2">
        <v>25</v>
      </c>
      <c r="AS27" s="6">
        <v>0.23</v>
      </c>
    </row>
    <row r="28" spans="1:45" x14ac:dyDescent="0.25">
      <c r="A28" s="2">
        <v>26</v>
      </c>
      <c r="B28" s="6">
        <v>284.62</v>
      </c>
      <c r="C28" s="2">
        <v>26</v>
      </c>
      <c r="D28" s="6">
        <v>204.32</v>
      </c>
      <c r="E28" s="2">
        <v>26</v>
      </c>
      <c r="F28" s="6">
        <v>377.93</v>
      </c>
      <c r="G28" s="2">
        <v>26</v>
      </c>
      <c r="H28" s="134">
        <v>53.25</v>
      </c>
      <c r="I28" s="2">
        <v>26</v>
      </c>
      <c r="J28" s="6">
        <v>21.16</v>
      </c>
      <c r="K28" s="2">
        <v>26</v>
      </c>
      <c r="L28" s="6">
        <v>28.51</v>
      </c>
      <c r="M28" s="2">
        <v>26</v>
      </c>
      <c r="N28" s="6">
        <v>7.65</v>
      </c>
      <c r="O28" s="2">
        <v>26</v>
      </c>
      <c r="P28" s="6">
        <v>5.47</v>
      </c>
      <c r="Q28" s="2">
        <v>26</v>
      </c>
      <c r="R28" s="6">
        <v>2.81</v>
      </c>
      <c r="S28" s="2">
        <v>26</v>
      </c>
      <c r="T28" s="6">
        <v>1.97</v>
      </c>
      <c r="U28" s="2">
        <v>26</v>
      </c>
      <c r="V28" s="6">
        <v>1.98</v>
      </c>
      <c r="W28" s="2">
        <v>26</v>
      </c>
      <c r="X28" s="13">
        <f t="shared" si="0"/>
        <v>3.17</v>
      </c>
      <c r="Y28" s="2">
        <v>26</v>
      </c>
      <c r="Z28" s="6">
        <v>5.18</v>
      </c>
      <c r="AB28" s="6">
        <v>1.66</v>
      </c>
      <c r="AC28" s="6">
        <v>1.51</v>
      </c>
      <c r="AD28" s="2">
        <v>26</v>
      </c>
      <c r="AE28" s="6">
        <v>353.33</v>
      </c>
      <c r="AF28" s="2">
        <v>26</v>
      </c>
      <c r="AG28" s="6">
        <v>38.49</v>
      </c>
      <c r="AH28" s="2">
        <v>26</v>
      </c>
      <c r="AI28" s="6">
        <v>98.23</v>
      </c>
      <c r="AJ28" s="2">
        <v>26</v>
      </c>
      <c r="AK28" s="6">
        <v>309.94</v>
      </c>
      <c r="AL28" s="2">
        <v>26</v>
      </c>
      <c r="AM28" s="72">
        <f t="shared" si="2"/>
        <v>490.05</v>
      </c>
      <c r="AN28" s="2">
        <v>26</v>
      </c>
      <c r="AO28" s="72">
        <f t="shared" si="3"/>
        <v>313.38499999999999</v>
      </c>
      <c r="AP28" s="2">
        <v>26</v>
      </c>
      <c r="AQ28" s="73">
        <f t="shared" si="4"/>
        <v>226.606666666667</v>
      </c>
      <c r="AR28" s="2">
        <v>26</v>
      </c>
      <c r="AS28" s="6">
        <v>0.24</v>
      </c>
    </row>
    <row r="29" spans="1:45" x14ac:dyDescent="0.25">
      <c r="A29" s="2">
        <v>27</v>
      </c>
      <c r="B29" s="6">
        <v>291.72000000000003</v>
      </c>
      <c r="C29" s="2">
        <v>27</v>
      </c>
      <c r="D29" s="6">
        <v>209.68</v>
      </c>
      <c r="E29" s="2">
        <v>27</v>
      </c>
      <c r="F29" s="6">
        <v>386.91</v>
      </c>
      <c r="G29" s="2">
        <v>27</v>
      </c>
      <c r="H29" s="134">
        <v>54.59</v>
      </c>
      <c r="I29" s="2">
        <v>27</v>
      </c>
      <c r="J29" s="6">
        <v>21.36</v>
      </c>
      <c r="K29" s="2">
        <v>27</v>
      </c>
      <c r="L29" s="6">
        <v>29.21</v>
      </c>
      <c r="M29" s="2">
        <v>27</v>
      </c>
      <c r="N29" s="6">
        <v>7.81</v>
      </c>
      <c r="O29" s="2">
        <v>27</v>
      </c>
      <c r="P29" s="6">
        <v>5.58</v>
      </c>
      <c r="Q29" s="2">
        <v>27</v>
      </c>
      <c r="R29" s="6">
        <v>2.92</v>
      </c>
      <c r="S29" s="2">
        <v>27</v>
      </c>
      <c r="T29" s="6">
        <v>2.0699999999999998</v>
      </c>
      <c r="U29" s="2">
        <v>27</v>
      </c>
      <c r="V29" s="6">
        <v>2.0699999999999998</v>
      </c>
      <c r="W29" s="2">
        <v>27</v>
      </c>
      <c r="X29" s="13">
        <f t="shared" si="0"/>
        <v>3.35</v>
      </c>
      <c r="Y29" s="2">
        <v>27</v>
      </c>
      <c r="Z29" s="6">
        <v>5.18</v>
      </c>
      <c r="AB29" s="6">
        <v>1.74</v>
      </c>
      <c r="AC29" s="6">
        <v>1.61</v>
      </c>
      <c r="AD29" s="2">
        <v>27</v>
      </c>
      <c r="AE29" s="6">
        <v>358.71</v>
      </c>
      <c r="AF29" s="2">
        <v>27</v>
      </c>
      <c r="AG29" s="6">
        <v>38.700000000000003</v>
      </c>
      <c r="AH29" s="2">
        <v>27</v>
      </c>
      <c r="AI29" s="6">
        <v>100.86</v>
      </c>
      <c r="AJ29" s="2">
        <v>27</v>
      </c>
      <c r="AK29" s="6">
        <v>315.11</v>
      </c>
      <c r="AL29" s="2">
        <v>27</v>
      </c>
      <c r="AM29" s="72">
        <f t="shared" si="2"/>
        <v>498.27</v>
      </c>
      <c r="AN29" s="2">
        <v>27</v>
      </c>
      <c r="AO29" s="72">
        <f t="shared" si="3"/>
        <v>318.91500000000002</v>
      </c>
      <c r="AP29" s="2">
        <v>27</v>
      </c>
      <c r="AQ29" s="73">
        <f t="shared" si="4"/>
        <v>231.77666666666701</v>
      </c>
      <c r="AR29" s="2">
        <v>27</v>
      </c>
      <c r="AS29" s="6">
        <v>0.25</v>
      </c>
    </row>
    <row r="30" spans="1:45" x14ac:dyDescent="0.25">
      <c r="A30" s="2">
        <v>28</v>
      </c>
      <c r="B30" s="6">
        <v>298.87</v>
      </c>
      <c r="C30" s="2">
        <v>28</v>
      </c>
      <c r="D30" s="6">
        <v>215.17</v>
      </c>
      <c r="E30" s="2">
        <v>28</v>
      </c>
      <c r="F30" s="6">
        <v>395.21</v>
      </c>
      <c r="G30" s="2">
        <v>28</v>
      </c>
      <c r="H30" s="134">
        <v>55.96</v>
      </c>
      <c r="I30" s="2">
        <v>28</v>
      </c>
      <c r="J30" s="6">
        <v>21.56</v>
      </c>
      <c r="K30" s="2">
        <v>28</v>
      </c>
      <c r="L30" s="6">
        <v>29.93</v>
      </c>
      <c r="M30" s="2">
        <v>28</v>
      </c>
      <c r="N30" s="6">
        <v>7.97</v>
      </c>
      <c r="O30" s="2">
        <v>28</v>
      </c>
      <c r="P30" s="6">
        <v>5.69</v>
      </c>
      <c r="Q30" s="2">
        <v>28</v>
      </c>
      <c r="R30" s="6">
        <v>3.03</v>
      </c>
      <c r="S30" s="2">
        <v>28</v>
      </c>
      <c r="T30" s="6">
        <v>2.17</v>
      </c>
      <c r="U30" s="2">
        <v>28</v>
      </c>
      <c r="V30" s="6">
        <v>2.15</v>
      </c>
      <c r="W30" s="2">
        <v>28</v>
      </c>
      <c r="X30" s="13">
        <f t="shared" si="0"/>
        <v>3.5300000000000002</v>
      </c>
      <c r="Y30" s="2">
        <v>28</v>
      </c>
      <c r="Z30" s="6">
        <v>5.18</v>
      </c>
      <c r="AB30" s="6">
        <v>1.83</v>
      </c>
      <c r="AC30" s="6">
        <v>1.7</v>
      </c>
      <c r="AD30" s="2">
        <v>28</v>
      </c>
      <c r="AE30" s="6">
        <v>363.86</v>
      </c>
      <c r="AF30" s="2">
        <v>28</v>
      </c>
      <c r="AG30" s="6">
        <v>38.880000000000003</v>
      </c>
      <c r="AH30" s="2">
        <v>28</v>
      </c>
      <c r="AI30" s="6">
        <v>103.5</v>
      </c>
      <c r="AJ30" s="2">
        <v>28</v>
      </c>
      <c r="AK30" s="6">
        <v>320.42</v>
      </c>
      <c r="AL30" s="2">
        <v>28</v>
      </c>
      <c r="AM30" s="72">
        <f t="shared" si="2"/>
        <v>506.24</v>
      </c>
      <c r="AN30" s="2">
        <v>28</v>
      </c>
      <c r="AO30" s="72">
        <f t="shared" si="3"/>
        <v>324.31</v>
      </c>
      <c r="AP30" s="2">
        <v>28</v>
      </c>
      <c r="AQ30" s="73">
        <f t="shared" si="4"/>
        <v>237.08666666666701</v>
      </c>
      <c r="AR30" s="2">
        <v>28</v>
      </c>
      <c r="AS30" s="6">
        <v>0.26</v>
      </c>
    </row>
    <row r="31" spans="1:45" x14ac:dyDescent="0.25">
      <c r="A31" s="2">
        <v>29</v>
      </c>
      <c r="B31" s="6">
        <v>305.99</v>
      </c>
      <c r="C31" s="2">
        <v>29</v>
      </c>
      <c r="D31" s="6">
        <v>220.72</v>
      </c>
      <c r="E31" s="2">
        <v>29</v>
      </c>
      <c r="F31" s="6">
        <v>403.41</v>
      </c>
      <c r="G31" s="2">
        <v>29</v>
      </c>
      <c r="H31" s="134">
        <v>57.36</v>
      </c>
      <c r="I31" s="2">
        <v>29</v>
      </c>
      <c r="J31" s="6">
        <v>21.76</v>
      </c>
      <c r="K31" s="2">
        <v>29</v>
      </c>
      <c r="L31" s="6">
        <v>30.67</v>
      </c>
      <c r="M31" s="2">
        <v>29</v>
      </c>
      <c r="N31" s="6">
        <v>8.14</v>
      </c>
      <c r="O31" s="2">
        <v>29</v>
      </c>
      <c r="P31" s="6">
        <v>5.82</v>
      </c>
      <c r="Q31" s="2">
        <v>29</v>
      </c>
      <c r="R31" s="6">
        <v>3.14</v>
      </c>
      <c r="S31" s="2">
        <v>29</v>
      </c>
      <c r="T31" s="6">
        <v>2.2799999999999998</v>
      </c>
      <c r="U31" s="2">
        <v>29</v>
      </c>
      <c r="V31" s="6">
        <v>2.2400000000000002</v>
      </c>
      <c r="W31" s="2">
        <v>29</v>
      </c>
      <c r="X31" s="13">
        <f t="shared" si="0"/>
        <v>3.7199999999999998</v>
      </c>
      <c r="Y31" s="2">
        <v>29</v>
      </c>
      <c r="Z31" s="6">
        <v>5.18</v>
      </c>
      <c r="AB31" s="6">
        <v>1.92</v>
      </c>
      <c r="AC31" s="6">
        <v>1.8</v>
      </c>
      <c r="AD31" s="2">
        <v>29</v>
      </c>
      <c r="AE31" s="6">
        <v>368.89</v>
      </c>
      <c r="AF31" s="2">
        <v>29</v>
      </c>
      <c r="AG31" s="6">
        <v>39.049999999999997</v>
      </c>
      <c r="AH31" s="2">
        <v>29</v>
      </c>
      <c r="AI31" s="6">
        <v>106.16</v>
      </c>
      <c r="AJ31" s="2">
        <v>29</v>
      </c>
      <c r="AK31" s="6">
        <v>325.81</v>
      </c>
      <c r="AL31" s="2">
        <v>29</v>
      </c>
      <c r="AM31" s="72">
        <f t="shared" si="2"/>
        <v>514.1</v>
      </c>
      <c r="AN31" s="2">
        <v>29</v>
      </c>
      <c r="AO31" s="72">
        <f t="shared" si="3"/>
        <v>329.65499999999997</v>
      </c>
      <c r="AP31" s="2">
        <v>29</v>
      </c>
      <c r="AQ31" s="73">
        <f t="shared" si="4"/>
        <v>242.476666666667</v>
      </c>
      <c r="AR31" s="2">
        <v>29</v>
      </c>
      <c r="AS31" s="6">
        <v>0.27</v>
      </c>
    </row>
    <row r="32" spans="1:45" x14ac:dyDescent="0.25">
      <c r="A32" s="2">
        <v>30</v>
      </c>
      <c r="B32" s="6">
        <v>313.11</v>
      </c>
      <c r="C32" s="2">
        <v>30</v>
      </c>
      <c r="D32" s="6">
        <v>226.33</v>
      </c>
      <c r="E32" s="2">
        <v>30</v>
      </c>
      <c r="F32" s="6">
        <v>411.54</v>
      </c>
      <c r="G32" s="2">
        <v>30</v>
      </c>
      <c r="H32" s="134">
        <v>58.8</v>
      </c>
      <c r="I32" s="2">
        <v>30</v>
      </c>
      <c r="J32" s="6">
        <v>21.97</v>
      </c>
      <c r="K32" s="2">
        <v>30</v>
      </c>
      <c r="L32" s="6">
        <v>31.43</v>
      </c>
      <c r="M32" s="2">
        <v>30</v>
      </c>
      <c r="N32" s="6">
        <v>8.33</v>
      </c>
      <c r="O32" s="2">
        <v>30</v>
      </c>
      <c r="P32" s="6">
        <v>5.95</v>
      </c>
      <c r="Q32" s="2">
        <v>30</v>
      </c>
      <c r="R32" s="6">
        <v>3.26</v>
      </c>
      <c r="S32" s="2">
        <v>30</v>
      </c>
      <c r="T32" s="6">
        <v>2.39</v>
      </c>
      <c r="U32" s="2">
        <v>30</v>
      </c>
      <c r="V32" s="6">
        <v>2.33</v>
      </c>
      <c r="W32" s="2">
        <v>30</v>
      </c>
      <c r="X32" s="13">
        <f t="shared" si="0"/>
        <v>3.92</v>
      </c>
      <c r="Y32" s="2">
        <v>30</v>
      </c>
      <c r="Z32" s="6">
        <v>5.18</v>
      </c>
      <c r="AB32" s="6">
        <v>2.0099999999999998</v>
      </c>
      <c r="AC32" s="6">
        <v>1.91</v>
      </c>
      <c r="AD32" s="2">
        <v>30</v>
      </c>
      <c r="AE32" s="6">
        <v>373.85</v>
      </c>
      <c r="AF32" s="2">
        <v>30</v>
      </c>
      <c r="AG32" s="6">
        <v>39.200000000000003</v>
      </c>
      <c r="AH32" s="2">
        <v>30</v>
      </c>
      <c r="AI32" s="6">
        <v>108.87</v>
      </c>
      <c r="AJ32" s="2">
        <v>30</v>
      </c>
      <c r="AK32" s="6">
        <v>331.3</v>
      </c>
      <c r="AL32" s="2">
        <v>30</v>
      </c>
      <c r="AM32" s="72">
        <f t="shared" si="2"/>
        <v>521.92000000000007</v>
      </c>
      <c r="AN32" s="2">
        <v>30</v>
      </c>
      <c r="AO32" s="72">
        <f t="shared" si="3"/>
        <v>334.995</v>
      </c>
      <c r="AP32" s="2">
        <v>30</v>
      </c>
      <c r="AQ32" s="73">
        <f t="shared" si="4"/>
        <v>247.96666666666701</v>
      </c>
      <c r="AR32" s="2">
        <v>30</v>
      </c>
      <c r="AS32" s="6">
        <v>0.28000000000000003</v>
      </c>
    </row>
    <row r="33" spans="1:45" x14ac:dyDescent="0.25">
      <c r="A33" s="2">
        <v>31</v>
      </c>
      <c r="B33" s="6">
        <v>320.25</v>
      </c>
      <c r="C33" s="2">
        <v>31</v>
      </c>
      <c r="D33" s="6">
        <v>232.03</v>
      </c>
      <c r="E33" s="2">
        <v>31</v>
      </c>
      <c r="F33" s="6">
        <v>419.63</v>
      </c>
      <c r="G33" s="2">
        <v>31</v>
      </c>
      <c r="H33" s="134">
        <v>60.28</v>
      </c>
      <c r="I33" s="2">
        <v>31</v>
      </c>
      <c r="J33" s="6">
        <v>22.17</v>
      </c>
      <c r="K33" s="2">
        <v>31</v>
      </c>
      <c r="L33" s="6">
        <v>32.21</v>
      </c>
      <c r="M33" s="2">
        <v>31</v>
      </c>
      <c r="N33" s="6">
        <v>8.52</v>
      </c>
      <c r="O33" s="2">
        <v>31</v>
      </c>
      <c r="P33" s="6">
        <v>6.09</v>
      </c>
      <c r="Q33" s="2">
        <v>31</v>
      </c>
      <c r="R33" s="6">
        <v>3.38</v>
      </c>
      <c r="S33" s="2">
        <v>31</v>
      </c>
      <c r="T33" s="6">
        <v>2.5</v>
      </c>
      <c r="U33" s="2">
        <v>31</v>
      </c>
      <c r="V33" s="6">
        <v>2.4300000000000002</v>
      </c>
      <c r="W33" s="2">
        <v>31</v>
      </c>
      <c r="X33" s="13">
        <f t="shared" si="0"/>
        <v>4.1199999999999992</v>
      </c>
      <c r="Y33" s="2">
        <v>31</v>
      </c>
      <c r="Z33" s="6">
        <v>5.18</v>
      </c>
      <c r="AB33" s="6">
        <v>2.11</v>
      </c>
      <c r="AC33" s="6">
        <v>2.0099999999999998</v>
      </c>
      <c r="AD33" s="2">
        <v>31</v>
      </c>
      <c r="AE33" s="6">
        <v>378.73</v>
      </c>
      <c r="AF33" s="2">
        <v>31</v>
      </c>
      <c r="AG33" s="6">
        <v>39.340000000000003</v>
      </c>
      <c r="AH33" s="2">
        <v>31</v>
      </c>
      <c r="AI33" s="6">
        <v>111.63</v>
      </c>
      <c r="AJ33" s="2">
        <v>31</v>
      </c>
      <c r="AK33" s="6">
        <v>336.9</v>
      </c>
      <c r="AL33" s="2">
        <v>31</v>
      </c>
      <c r="AM33" s="72">
        <f t="shared" si="2"/>
        <v>529.70000000000005</v>
      </c>
      <c r="AN33" s="2">
        <v>31</v>
      </c>
      <c r="AO33" s="72">
        <f t="shared" si="3"/>
        <v>340.33500000000004</v>
      </c>
      <c r="AP33" s="2">
        <v>31</v>
      </c>
      <c r="AQ33" s="73">
        <f t="shared" si="4"/>
        <v>253.56666666666698</v>
      </c>
      <c r="AR33" s="2">
        <v>31</v>
      </c>
      <c r="AS33" s="6">
        <v>0.28999999999999998</v>
      </c>
    </row>
    <row r="34" spans="1:45" x14ac:dyDescent="0.25">
      <c r="A34" s="2">
        <v>32</v>
      </c>
      <c r="B34" s="6">
        <v>327.45</v>
      </c>
      <c r="C34" s="2">
        <v>32</v>
      </c>
      <c r="D34" s="6">
        <v>237.85</v>
      </c>
      <c r="E34" s="2">
        <v>32</v>
      </c>
      <c r="F34" s="6">
        <v>427.7</v>
      </c>
      <c r="G34" s="2">
        <v>32</v>
      </c>
      <c r="H34" s="134">
        <v>61.81</v>
      </c>
      <c r="I34" s="2">
        <v>32</v>
      </c>
      <c r="J34" s="6">
        <v>22.37</v>
      </c>
      <c r="K34" s="2">
        <v>32</v>
      </c>
      <c r="L34" s="6">
        <v>33.020000000000003</v>
      </c>
      <c r="M34" s="2">
        <v>32</v>
      </c>
      <c r="N34" s="6">
        <v>8.73</v>
      </c>
      <c r="O34" s="2">
        <v>32</v>
      </c>
      <c r="P34" s="6">
        <v>6.23</v>
      </c>
      <c r="Q34" s="2">
        <v>32</v>
      </c>
      <c r="R34" s="6">
        <v>3.51</v>
      </c>
      <c r="S34" s="2">
        <v>32</v>
      </c>
      <c r="T34" s="6">
        <v>2.62</v>
      </c>
      <c r="U34" s="2">
        <v>32</v>
      </c>
      <c r="V34" s="6">
        <v>2.52</v>
      </c>
      <c r="W34" s="2">
        <v>32</v>
      </c>
      <c r="X34" s="13">
        <f t="shared" ref="X34:X62" si="5">AB34+AC34</f>
        <v>4.3499999999999996</v>
      </c>
      <c r="Y34" s="2">
        <v>32</v>
      </c>
      <c r="Z34" s="6">
        <v>5.18</v>
      </c>
      <c r="AB34" s="6">
        <v>2.2200000000000002</v>
      </c>
      <c r="AC34" s="6">
        <v>2.13</v>
      </c>
      <c r="AD34" s="2">
        <v>32</v>
      </c>
      <c r="AE34" s="6">
        <v>383.56</v>
      </c>
      <c r="AF34" s="2">
        <v>32</v>
      </c>
      <c r="AG34" s="6">
        <v>39.479999999999997</v>
      </c>
      <c r="AH34" s="2">
        <v>32</v>
      </c>
      <c r="AI34" s="6">
        <v>114.44</v>
      </c>
      <c r="AJ34" s="2">
        <v>32</v>
      </c>
      <c r="AK34" s="6">
        <v>342.64</v>
      </c>
      <c r="AL34" s="2">
        <v>32</v>
      </c>
      <c r="AM34" s="72">
        <f t="shared" si="2"/>
        <v>537.48</v>
      </c>
      <c r="AN34" s="2">
        <v>32</v>
      </c>
      <c r="AO34" s="72">
        <f t="shared" si="3"/>
        <v>345.7</v>
      </c>
      <c r="AP34" s="2">
        <v>32</v>
      </c>
      <c r="AQ34" s="73">
        <f t="shared" si="4"/>
        <v>259.30666666666696</v>
      </c>
      <c r="AR34" s="2">
        <v>32</v>
      </c>
      <c r="AS34" s="6">
        <v>0.3</v>
      </c>
    </row>
    <row r="35" spans="1:45" x14ac:dyDescent="0.25">
      <c r="A35" s="2">
        <v>33</v>
      </c>
      <c r="B35" s="6">
        <v>334.72</v>
      </c>
      <c r="C35" s="2">
        <v>33</v>
      </c>
      <c r="D35" s="6">
        <v>243.81</v>
      </c>
      <c r="E35" s="2">
        <v>33</v>
      </c>
      <c r="F35" s="6">
        <v>435.79</v>
      </c>
      <c r="G35" s="2">
        <v>33</v>
      </c>
      <c r="H35" s="134">
        <v>63.39</v>
      </c>
      <c r="I35" s="2">
        <v>33</v>
      </c>
      <c r="J35" s="6">
        <v>22.58</v>
      </c>
      <c r="K35" s="2">
        <v>33</v>
      </c>
      <c r="L35" s="6">
        <v>33.85</v>
      </c>
      <c r="M35" s="2">
        <v>33</v>
      </c>
      <c r="N35" s="6">
        <v>8.9499999999999993</v>
      </c>
      <c r="O35" s="2">
        <v>33</v>
      </c>
      <c r="P35" s="6">
        <v>6.39</v>
      </c>
      <c r="Q35" s="2">
        <v>33</v>
      </c>
      <c r="R35" s="6">
        <v>3.64</v>
      </c>
      <c r="S35" s="2">
        <v>33</v>
      </c>
      <c r="T35" s="6">
        <v>2.73</v>
      </c>
      <c r="U35" s="2">
        <v>33</v>
      </c>
      <c r="V35" s="6">
        <v>2.62</v>
      </c>
      <c r="W35" s="2">
        <v>33</v>
      </c>
      <c r="X35" s="13">
        <f t="shared" si="5"/>
        <v>4.57</v>
      </c>
      <c r="Y35" s="2">
        <v>33</v>
      </c>
      <c r="Z35" s="6">
        <v>5.18</v>
      </c>
      <c r="AB35" s="6">
        <v>2.33</v>
      </c>
      <c r="AC35" s="6">
        <v>2.2400000000000002</v>
      </c>
      <c r="AD35" s="2">
        <v>33</v>
      </c>
      <c r="AE35" s="6">
        <v>388.34</v>
      </c>
      <c r="AF35" s="2">
        <v>33</v>
      </c>
      <c r="AG35" s="6">
        <v>39.630000000000003</v>
      </c>
      <c r="AH35" s="2">
        <v>33</v>
      </c>
      <c r="AI35" s="6">
        <v>117.32</v>
      </c>
      <c r="AJ35" s="2">
        <v>33</v>
      </c>
      <c r="AK35" s="6">
        <v>348.55</v>
      </c>
      <c r="AL35" s="2">
        <v>33</v>
      </c>
      <c r="AM35" s="72">
        <f t="shared" si="2"/>
        <v>545.29</v>
      </c>
      <c r="AN35" s="2">
        <v>33</v>
      </c>
      <c r="AO35" s="72">
        <f t="shared" si="3"/>
        <v>351.12</v>
      </c>
      <c r="AP35" s="2">
        <v>33</v>
      </c>
      <c r="AQ35" s="73">
        <f t="shared" si="4"/>
        <v>265.21666666666704</v>
      </c>
      <c r="AR35" s="2">
        <v>33</v>
      </c>
      <c r="AS35" s="6">
        <v>0.31</v>
      </c>
    </row>
    <row r="36" spans="1:45" x14ac:dyDescent="0.25">
      <c r="A36" s="2">
        <v>34</v>
      </c>
      <c r="B36" s="6">
        <v>342.25</v>
      </c>
      <c r="C36" s="2">
        <v>34</v>
      </c>
      <c r="D36" s="6">
        <v>250.06</v>
      </c>
      <c r="E36" s="2">
        <v>34</v>
      </c>
      <c r="F36" s="6">
        <v>444.04</v>
      </c>
      <c r="G36" s="2">
        <v>34</v>
      </c>
      <c r="H36" s="134">
        <v>65.040000000000006</v>
      </c>
      <c r="I36" s="2">
        <v>34</v>
      </c>
      <c r="J36" s="6">
        <v>22.79</v>
      </c>
      <c r="K36" s="2">
        <v>34</v>
      </c>
      <c r="L36" s="6">
        <v>34.72</v>
      </c>
      <c r="M36" s="2">
        <v>34</v>
      </c>
      <c r="N36" s="6">
        <v>9.17</v>
      </c>
      <c r="O36" s="2">
        <v>34</v>
      </c>
      <c r="P36" s="6">
        <v>6.55</v>
      </c>
      <c r="Q36" s="2">
        <v>34</v>
      </c>
      <c r="R36" s="6">
        <v>3.78</v>
      </c>
      <c r="S36" s="2">
        <v>34</v>
      </c>
      <c r="T36" s="6">
        <v>2.86</v>
      </c>
      <c r="U36" s="2">
        <v>34</v>
      </c>
      <c r="V36" s="6">
        <v>2.72</v>
      </c>
      <c r="W36" s="2">
        <v>34</v>
      </c>
      <c r="X36" s="13">
        <f t="shared" si="5"/>
        <v>4.8100000000000005</v>
      </c>
      <c r="Y36" s="2">
        <v>34</v>
      </c>
      <c r="Z36" s="6">
        <v>5.18</v>
      </c>
      <c r="AB36" s="6">
        <v>2.4500000000000002</v>
      </c>
      <c r="AC36" s="6">
        <v>2.36</v>
      </c>
      <c r="AD36" s="2">
        <v>34</v>
      </c>
      <c r="AE36" s="6">
        <v>393.23</v>
      </c>
      <c r="AF36" s="2">
        <v>34</v>
      </c>
      <c r="AG36" s="6">
        <v>39.78</v>
      </c>
      <c r="AH36" s="2">
        <v>34</v>
      </c>
      <c r="AI36" s="6">
        <v>120.34</v>
      </c>
      <c r="AJ36" s="2">
        <v>34</v>
      </c>
      <c r="AK36" s="6">
        <v>354.61</v>
      </c>
      <c r="AL36" s="2">
        <v>34</v>
      </c>
      <c r="AM36" s="72">
        <f t="shared" si="2"/>
        <v>553.35</v>
      </c>
      <c r="AN36" s="2">
        <v>34</v>
      </c>
      <c r="AO36" s="72">
        <f t="shared" si="3"/>
        <v>356.73500000000001</v>
      </c>
      <c r="AP36" s="2">
        <v>34</v>
      </c>
      <c r="AQ36" s="73">
        <f t="shared" si="4"/>
        <v>271.27666666666698</v>
      </c>
      <c r="AR36" s="2">
        <v>34</v>
      </c>
      <c r="AS36" s="6">
        <v>0.32</v>
      </c>
    </row>
    <row r="37" spans="1:45" x14ac:dyDescent="0.25">
      <c r="A37" s="2">
        <v>35</v>
      </c>
      <c r="B37" s="6">
        <v>350.04</v>
      </c>
      <c r="C37" s="2">
        <v>35</v>
      </c>
      <c r="D37" s="6">
        <v>256.61</v>
      </c>
      <c r="E37" s="2">
        <v>35</v>
      </c>
      <c r="F37" s="6">
        <v>452.47</v>
      </c>
      <c r="G37" s="2">
        <v>35</v>
      </c>
      <c r="H37" s="134">
        <v>66.75</v>
      </c>
      <c r="I37" s="2">
        <v>35</v>
      </c>
      <c r="J37" s="6">
        <v>23</v>
      </c>
      <c r="K37" s="2">
        <v>35</v>
      </c>
      <c r="L37" s="6">
        <v>35.619999999999997</v>
      </c>
      <c r="M37" s="2">
        <v>35</v>
      </c>
      <c r="N37" s="6">
        <v>9.41</v>
      </c>
      <c r="O37" s="2">
        <v>35</v>
      </c>
      <c r="P37" s="6">
        <v>6.72</v>
      </c>
      <c r="Q37" s="2">
        <v>35</v>
      </c>
      <c r="R37" s="6">
        <v>3.91</v>
      </c>
      <c r="S37" s="2">
        <v>35</v>
      </c>
      <c r="T37" s="6">
        <v>2.99</v>
      </c>
      <c r="U37" s="2">
        <v>35</v>
      </c>
      <c r="V37" s="6">
        <v>2.83</v>
      </c>
      <c r="W37" s="2">
        <v>35</v>
      </c>
      <c r="X37" s="13">
        <f t="shared" si="5"/>
        <v>5.0600000000000005</v>
      </c>
      <c r="Y37" s="2">
        <v>35</v>
      </c>
      <c r="Z37" s="6">
        <v>5.18</v>
      </c>
      <c r="AB37" s="6">
        <v>2.57</v>
      </c>
      <c r="AC37" s="6">
        <v>2.4900000000000002</v>
      </c>
      <c r="AD37" s="2">
        <v>35</v>
      </c>
      <c r="AE37" s="6">
        <v>398.24</v>
      </c>
      <c r="AF37" s="2">
        <v>35</v>
      </c>
      <c r="AG37" s="6">
        <v>39.94</v>
      </c>
      <c r="AH37" s="2">
        <v>35</v>
      </c>
      <c r="AI37" s="6">
        <v>123.48</v>
      </c>
      <c r="AJ37" s="2">
        <v>35</v>
      </c>
      <c r="AK37" s="6">
        <v>360.84</v>
      </c>
      <c r="AL37" s="2">
        <v>35</v>
      </c>
      <c r="AM37" s="72">
        <f t="shared" si="2"/>
        <v>561.66</v>
      </c>
      <c r="AN37" s="2">
        <v>35</v>
      </c>
      <c r="AO37" s="72">
        <f t="shared" si="3"/>
        <v>362.54</v>
      </c>
      <c r="AP37" s="2">
        <v>35</v>
      </c>
      <c r="AQ37" s="73">
        <f t="shared" si="4"/>
        <v>277.506666666667</v>
      </c>
      <c r="AR37" s="2">
        <v>35</v>
      </c>
      <c r="AS37" s="6">
        <v>0.33</v>
      </c>
    </row>
    <row r="38" spans="1:45" x14ac:dyDescent="0.25">
      <c r="A38" s="2">
        <v>36</v>
      </c>
      <c r="B38" s="6">
        <v>358.11</v>
      </c>
      <c r="C38" s="2">
        <v>36</v>
      </c>
      <c r="D38" s="6">
        <v>263.49</v>
      </c>
      <c r="E38" s="2">
        <v>36</v>
      </c>
      <c r="F38" s="6">
        <v>461.09</v>
      </c>
      <c r="G38" s="2">
        <v>36</v>
      </c>
      <c r="H38" s="134">
        <v>68.53</v>
      </c>
      <c r="I38" s="2">
        <v>36</v>
      </c>
      <c r="J38" s="6">
        <v>23.22</v>
      </c>
      <c r="K38" s="2">
        <v>36</v>
      </c>
      <c r="L38" s="6">
        <v>36.549999999999997</v>
      </c>
      <c r="M38" s="2">
        <v>36</v>
      </c>
      <c r="N38" s="6">
        <v>9.65</v>
      </c>
      <c r="O38" s="2">
        <v>36</v>
      </c>
      <c r="P38" s="6">
        <v>6.89</v>
      </c>
      <c r="Q38" s="2">
        <v>36</v>
      </c>
      <c r="R38" s="6">
        <v>4.0599999999999996</v>
      </c>
      <c r="S38" s="2">
        <v>36</v>
      </c>
      <c r="T38" s="6">
        <v>3.12</v>
      </c>
      <c r="U38" s="2">
        <v>36</v>
      </c>
      <c r="V38" s="6">
        <v>2.94</v>
      </c>
      <c r="W38" s="2">
        <v>36</v>
      </c>
      <c r="X38" s="13">
        <f t="shared" si="5"/>
        <v>5.32</v>
      </c>
      <c r="Y38" s="2">
        <v>36</v>
      </c>
      <c r="Z38" s="6">
        <v>5.18</v>
      </c>
      <c r="AB38" s="6">
        <v>2.7</v>
      </c>
      <c r="AC38" s="6">
        <v>2.62</v>
      </c>
      <c r="AD38" s="2">
        <v>36</v>
      </c>
      <c r="AE38" s="6">
        <v>403.36</v>
      </c>
      <c r="AF38" s="2">
        <v>36</v>
      </c>
      <c r="AG38" s="6">
        <v>40.1</v>
      </c>
      <c r="AH38" s="2">
        <v>36</v>
      </c>
      <c r="AI38" s="6">
        <v>126.76</v>
      </c>
      <c r="AJ38" s="2">
        <v>36</v>
      </c>
      <c r="AK38" s="6">
        <v>367.25</v>
      </c>
      <c r="AL38" s="2">
        <v>36</v>
      </c>
      <c r="AM38" s="72">
        <f t="shared" si="2"/>
        <v>570.22</v>
      </c>
      <c r="AN38" s="2">
        <v>36</v>
      </c>
      <c r="AO38" s="72">
        <f t="shared" si="3"/>
        <v>368.54</v>
      </c>
      <c r="AP38" s="2">
        <v>36</v>
      </c>
      <c r="AQ38" s="73">
        <f t="shared" si="4"/>
        <v>283.91666666666697</v>
      </c>
      <c r="AR38" s="2">
        <v>36</v>
      </c>
      <c r="AS38" s="6">
        <v>0.35</v>
      </c>
    </row>
    <row r="39" spans="1:45" x14ac:dyDescent="0.25">
      <c r="A39" s="2">
        <v>37</v>
      </c>
      <c r="B39" s="6">
        <v>366.47</v>
      </c>
      <c r="C39" s="2">
        <v>37</v>
      </c>
      <c r="D39" s="6">
        <v>270.70999999999998</v>
      </c>
      <c r="E39" s="2">
        <v>37</v>
      </c>
      <c r="F39" s="6">
        <v>469.91</v>
      </c>
      <c r="G39" s="2">
        <v>37</v>
      </c>
      <c r="H39" s="134">
        <v>70.38</v>
      </c>
      <c r="I39" s="2">
        <v>37</v>
      </c>
      <c r="J39" s="6">
        <v>23.45</v>
      </c>
      <c r="K39" s="2">
        <v>37</v>
      </c>
      <c r="L39" s="6">
        <v>37.520000000000003</v>
      </c>
      <c r="M39" s="2">
        <v>37</v>
      </c>
      <c r="N39" s="6">
        <v>9.91</v>
      </c>
      <c r="O39" s="2">
        <v>37</v>
      </c>
      <c r="P39" s="6">
        <v>7.08</v>
      </c>
      <c r="Q39" s="2">
        <v>37</v>
      </c>
      <c r="R39" s="6">
        <v>4.21</v>
      </c>
      <c r="S39" s="2">
        <v>37</v>
      </c>
      <c r="T39" s="6">
        <v>3.26</v>
      </c>
      <c r="U39" s="2">
        <v>37</v>
      </c>
      <c r="V39" s="6">
        <v>3.06</v>
      </c>
      <c r="W39" s="2">
        <v>37</v>
      </c>
      <c r="X39" s="13">
        <f t="shared" si="5"/>
        <v>5.58</v>
      </c>
      <c r="Y39" s="2">
        <v>37</v>
      </c>
      <c r="Z39" s="6">
        <v>5.18</v>
      </c>
      <c r="AB39" s="6">
        <v>2.83</v>
      </c>
      <c r="AC39" s="6">
        <v>2.75</v>
      </c>
      <c r="AD39" s="2">
        <v>37</v>
      </c>
      <c r="AE39" s="6">
        <v>408.63</v>
      </c>
      <c r="AF39" s="2">
        <v>37</v>
      </c>
      <c r="AG39" s="6">
        <v>40.28</v>
      </c>
      <c r="AH39" s="2">
        <v>37</v>
      </c>
      <c r="AI39" s="6">
        <v>130.19999999999999</v>
      </c>
      <c r="AJ39" s="2">
        <v>37</v>
      </c>
      <c r="AK39" s="6">
        <v>373.86</v>
      </c>
      <c r="AL39" s="2">
        <v>37</v>
      </c>
      <c r="AM39" s="72">
        <f t="shared" si="2"/>
        <v>579.1099999999999</v>
      </c>
      <c r="AN39" s="2">
        <v>37</v>
      </c>
      <c r="AO39" s="72">
        <f t="shared" si="3"/>
        <v>374.79499999999996</v>
      </c>
      <c r="AP39" s="2">
        <v>37</v>
      </c>
      <c r="AQ39" s="73">
        <f t="shared" si="4"/>
        <v>290.52666666666698</v>
      </c>
      <c r="AR39" s="2">
        <v>37</v>
      </c>
      <c r="AS39" s="6">
        <v>0.36</v>
      </c>
    </row>
    <row r="40" spans="1:45" x14ac:dyDescent="0.25">
      <c r="A40" s="2">
        <v>38</v>
      </c>
      <c r="B40" s="6">
        <v>375.15</v>
      </c>
      <c r="C40" s="2">
        <v>38</v>
      </c>
      <c r="D40" s="6">
        <v>278.3</v>
      </c>
      <c r="E40" s="2">
        <v>38</v>
      </c>
      <c r="F40" s="6">
        <v>478.96</v>
      </c>
      <c r="G40" s="2">
        <v>38</v>
      </c>
      <c r="H40" s="134">
        <v>72.319999999999993</v>
      </c>
      <c r="I40" s="2">
        <v>38</v>
      </c>
      <c r="J40" s="6">
        <v>23.68</v>
      </c>
      <c r="K40" s="2">
        <v>38</v>
      </c>
      <c r="L40" s="6">
        <v>38.53</v>
      </c>
      <c r="M40" s="2">
        <v>38</v>
      </c>
      <c r="N40" s="6">
        <v>10.18</v>
      </c>
      <c r="O40" s="2">
        <v>38</v>
      </c>
      <c r="P40" s="6">
        <v>7.27</v>
      </c>
      <c r="Q40" s="2">
        <v>38</v>
      </c>
      <c r="R40" s="6">
        <v>4.3600000000000003</v>
      </c>
      <c r="S40" s="2">
        <v>38</v>
      </c>
      <c r="T40" s="6">
        <v>3.4</v>
      </c>
      <c r="U40" s="2">
        <v>38</v>
      </c>
      <c r="V40" s="6">
        <v>3.18</v>
      </c>
      <c r="W40" s="2">
        <v>38</v>
      </c>
      <c r="X40" s="13">
        <f t="shared" si="5"/>
        <v>5.88</v>
      </c>
      <c r="Y40" s="2">
        <v>38</v>
      </c>
      <c r="Z40" s="6">
        <v>5.18</v>
      </c>
      <c r="AB40" s="6">
        <v>2.98</v>
      </c>
      <c r="AC40" s="6">
        <v>2.9</v>
      </c>
      <c r="AD40" s="2">
        <v>38</v>
      </c>
      <c r="AE40" s="6">
        <v>414.07</v>
      </c>
      <c r="AF40" s="2">
        <v>38</v>
      </c>
      <c r="AG40" s="6">
        <v>40.46</v>
      </c>
      <c r="AH40" s="2">
        <v>38</v>
      </c>
      <c r="AI40" s="6">
        <v>133.79</v>
      </c>
      <c r="AJ40" s="2">
        <v>38</v>
      </c>
      <c r="AK40" s="6">
        <v>380.66</v>
      </c>
      <c r="AL40" s="2">
        <v>38</v>
      </c>
      <c r="AM40" s="72">
        <f t="shared" si="2"/>
        <v>588.31999999999994</v>
      </c>
      <c r="AN40" s="2">
        <v>38</v>
      </c>
      <c r="AO40" s="72">
        <f t="shared" si="3"/>
        <v>381.28499999999997</v>
      </c>
      <c r="AP40" s="2">
        <v>38</v>
      </c>
      <c r="AQ40" s="73">
        <f t="shared" si="4"/>
        <v>297.32666666666705</v>
      </c>
      <c r="AR40" s="2">
        <v>38</v>
      </c>
      <c r="AS40" s="6">
        <v>0.37</v>
      </c>
    </row>
    <row r="41" spans="1:45" x14ac:dyDescent="0.25">
      <c r="A41" s="2">
        <v>39</v>
      </c>
      <c r="B41" s="6">
        <v>384.17</v>
      </c>
      <c r="C41" s="2">
        <v>39</v>
      </c>
      <c r="D41" s="6">
        <v>286.12</v>
      </c>
      <c r="E41" s="2">
        <v>39</v>
      </c>
      <c r="F41" s="6">
        <v>488.73</v>
      </c>
      <c r="G41" s="2">
        <v>39</v>
      </c>
      <c r="H41" s="134">
        <v>74.34</v>
      </c>
      <c r="I41" s="2">
        <v>39</v>
      </c>
      <c r="J41" s="6">
        <v>23.92</v>
      </c>
      <c r="K41" s="2">
        <v>39</v>
      </c>
      <c r="L41" s="6">
        <v>39.58</v>
      </c>
      <c r="M41" s="2">
        <v>39</v>
      </c>
      <c r="N41" s="6">
        <v>10.45</v>
      </c>
      <c r="O41" s="2">
        <v>39</v>
      </c>
      <c r="P41" s="6">
        <v>7.47</v>
      </c>
      <c r="Q41" s="2">
        <v>39</v>
      </c>
      <c r="R41" s="6">
        <v>4.5199999999999996</v>
      </c>
      <c r="S41" s="2">
        <v>39</v>
      </c>
      <c r="T41" s="6">
        <v>3.55</v>
      </c>
      <c r="U41" s="2">
        <v>39</v>
      </c>
      <c r="V41" s="6">
        <v>3.3</v>
      </c>
      <c r="W41" s="2">
        <v>39</v>
      </c>
      <c r="X41" s="13">
        <f t="shared" si="5"/>
        <v>6.16</v>
      </c>
      <c r="Y41" s="2">
        <v>39</v>
      </c>
      <c r="Z41" s="6">
        <v>5.18</v>
      </c>
      <c r="AB41" s="6">
        <v>3.12</v>
      </c>
      <c r="AC41" s="6">
        <v>3.04</v>
      </c>
      <c r="AD41" s="2">
        <v>39</v>
      </c>
      <c r="AE41" s="6">
        <v>419.68</v>
      </c>
      <c r="AF41" s="2">
        <v>39</v>
      </c>
      <c r="AG41" s="6">
        <v>40.65</v>
      </c>
      <c r="AH41" s="2">
        <v>39</v>
      </c>
      <c r="AI41" s="6">
        <v>137.56</v>
      </c>
      <c r="AJ41" s="2">
        <v>39</v>
      </c>
      <c r="AK41" s="6">
        <v>387.72</v>
      </c>
      <c r="AL41" s="2">
        <v>39</v>
      </c>
      <c r="AM41" s="72">
        <f t="shared" si="2"/>
        <v>597.89</v>
      </c>
      <c r="AN41" s="2">
        <v>39</v>
      </c>
      <c r="AO41" s="72">
        <f t="shared" si="3"/>
        <v>388.05</v>
      </c>
      <c r="AP41" s="2">
        <v>39</v>
      </c>
      <c r="AQ41" s="73">
        <f t="shared" si="4"/>
        <v>304.386666666667</v>
      </c>
      <c r="AR41" s="2">
        <v>39</v>
      </c>
      <c r="AS41" s="6">
        <v>0.38</v>
      </c>
    </row>
    <row r="42" spans="1:45" x14ac:dyDescent="0.25">
      <c r="A42" s="2">
        <v>40</v>
      </c>
      <c r="B42" s="6">
        <v>393.54</v>
      </c>
      <c r="C42" s="2">
        <v>40</v>
      </c>
      <c r="D42" s="6">
        <v>294.20999999999998</v>
      </c>
      <c r="E42" s="2">
        <v>40</v>
      </c>
      <c r="F42" s="6">
        <v>499.26</v>
      </c>
      <c r="G42" s="2">
        <v>40</v>
      </c>
      <c r="H42" s="134">
        <v>76.45</v>
      </c>
      <c r="I42" s="2">
        <v>40</v>
      </c>
      <c r="J42" s="6">
        <v>24.18</v>
      </c>
      <c r="K42" s="2">
        <v>40</v>
      </c>
      <c r="L42" s="6">
        <v>40.67</v>
      </c>
      <c r="M42" s="2">
        <v>40</v>
      </c>
      <c r="N42" s="6">
        <v>10.74</v>
      </c>
      <c r="O42" s="2">
        <v>40</v>
      </c>
      <c r="P42" s="6">
        <v>7.67</v>
      </c>
      <c r="Q42" s="2">
        <v>40</v>
      </c>
      <c r="R42" s="6">
        <v>4.6900000000000004</v>
      </c>
      <c r="S42" s="2">
        <v>40</v>
      </c>
      <c r="T42" s="6">
        <v>3.71</v>
      </c>
      <c r="U42" s="2">
        <v>40</v>
      </c>
      <c r="V42" s="6">
        <v>3.43</v>
      </c>
      <c r="W42" s="2">
        <v>40</v>
      </c>
      <c r="X42" s="13">
        <f t="shared" si="5"/>
        <v>6.4700000000000006</v>
      </c>
      <c r="Y42" s="2">
        <v>40</v>
      </c>
      <c r="Z42" s="6">
        <v>5.18</v>
      </c>
      <c r="AB42" s="6">
        <v>3.27</v>
      </c>
      <c r="AC42" s="6">
        <v>3.2</v>
      </c>
      <c r="AD42" s="2">
        <v>40</v>
      </c>
      <c r="AE42" s="6">
        <v>425.47</v>
      </c>
      <c r="AF42" s="2">
        <v>40</v>
      </c>
      <c r="AG42" s="6">
        <v>40.85</v>
      </c>
      <c r="AH42" s="2">
        <v>40</v>
      </c>
      <c r="AI42" s="6">
        <v>141.53</v>
      </c>
      <c r="AJ42" s="2">
        <v>40</v>
      </c>
      <c r="AK42" s="6">
        <v>395.04</v>
      </c>
      <c r="AL42" s="2">
        <v>40</v>
      </c>
      <c r="AM42" s="72">
        <f t="shared" si="2"/>
        <v>607.85</v>
      </c>
      <c r="AN42" s="2">
        <v>40</v>
      </c>
      <c r="AO42" s="72">
        <f t="shared" si="3"/>
        <v>395.11500000000001</v>
      </c>
      <c r="AP42" s="2">
        <v>40</v>
      </c>
      <c r="AQ42" s="73">
        <f t="shared" si="4"/>
        <v>311.70666666666705</v>
      </c>
      <c r="AR42" s="2">
        <v>40</v>
      </c>
      <c r="AS42" s="6">
        <v>0.4</v>
      </c>
    </row>
    <row r="43" spans="1:45" x14ac:dyDescent="0.25">
      <c r="A43" s="2">
        <v>41</v>
      </c>
      <c r="B43" s="6">
        <v>403.29</v>
      </c>
      <c r="C43" s="2">
        <v>41</v>
      </c>
      <c r="D43" s="6">
        <v>302.56</v>
      </c>
      <c r="E43" s="2">
        <v>41</v>
      </c>
      <c r="F43" s="6">
        <v>510.59</v>
      </c>
      <c r="G43" s="2">
        <v>41</v>
      </c>
      <c r="H43" s="134">
        <v>78.66</v>
      </c>
      <c r="I43" s="2">
        <v>41</v>
      </c>
      <c r="J43" s="6">
        <v>24.44</v>
      </c>
      <c r="K43" s="2">
        <v>41</v>
      </c>
      <c r="L43" s="6">
        <v>41.8</v>
      </c>
      <c r="M43" s="2">
        <v>41</v>
      </c>
      <c r="N43" s="6">
        <v>11.03</v>
      </c>
      <c r="O43" s="2">
        <v>41</v>
      </c>
      <c r="P43" s="6">
        <v>7.88</v>
      </c>
      <c r="Q43" s="2">
        <v>41</v>
      </c>
      <c r="R43" s="6">
        <v>4.8600000000000003</v>
      </c>
      <c r="S43" s="2">
        <v>41</v>
      </c>
      <c r="T43" s="6">
        <v>3.87</v>
      </c>
      <c r="U43" s="2">
        <v>41</v>
      </c>
      <c r="V43" s="6">
        <v>3.57</v>
      </c>
      <c r="W43" s="2">
        <v>41</v>
      </c>
      <c r="X43" s="13">
        <f t="shared" si="5"/>
        <v>6.79</v>
      </c>
      <c r="Y43" s="2">
        <v>41</v>
      </c>
      <c r="Z43" s="6">
        <v>5.18</v>
      </c>
      <c r="AB43" s="6">
        <v>3.43</v>
      </c>
      <c r="AC43" s="6">
        <v>3.36</v>
      </c>
      <c r="AD43" s="2">
        <v>41</v>
      </c>
      <c r="AE43" s="6">
        <v>431.45</v>
      </c>
      <c r="AF43" s="2">
        <v>41</v>
      </c>
      <c r="AG43" s="6">
        <v>41.06</v>
      </c>
      <c r="AH43" s="2">
        <v>41</v>
      </c>
      <c r="AI43" s="6">
        <v>145.69999999999999</v>
      </c>
      <c r="AJ43" s="2">
        <v>41</v>
      </c>
      <c r="AK43" s="6">
        <v>402.65</v>
      </c>
      <c r="AL43" s="2">
        <v>41</v>
      </c>
      <c r="AM43" s="72">
        <f t="shared" si="2"/>
        <v>618.21</v>
      </c>
      <c r="AN43" s="2">
        <v>41</v>
      </c>
      <c r="AO43" s="72">
        <f t="shared" si="3"/>
        <v>402.48499999999996</v>
      </c>
      <c r="AP43" s="2">
        <v>41</v>
      </c>
      <c r="AQ43" s="73">
        <f t="shared" si="4"/>
        <v>319.31666666666695</v>
      </c>
      <c r="AR43" s="2">
        <v>41</v>
      </c>
      <c r="AS43" s="6">
        <v>0.41</v>
      </c>
    </row>
    <row r="44" spans="1:45" x14ac:dyDescent="0.25">
      <c r="A44" s="2">
        <v>42</v>
      </c>
      <c r="B44" s="6">
        <v>413.44</v>
      </c>
      <c r="C44" s="2">
        <v>42</v>
      </c>
      <c r="D44" s="6">
        <v>311.22000000000003</v>
      </c>
      <c r="E44" s="2">
        <v>42</v>
      </c>
      <c r="F44" s="6">
        <v>522.76</v>
      </c>
      <c r="G44" s="2">
        <v>42</v>
      </c>
      <c r="H44" s="134">
        <v>80.97</v>
      </c>
      <c r="I44" s="2">
        <v>42</v>
      </c>
      <c r="J44" s="6">
        <v>24.72</v>
      </c>
      <c r="K44" s="2">
        <v>42</v>
      </c>
      <c r="L44" s="6">
        <v>42.98</v>
      </c>
      <c r="M44" s="2">
        <v>42</v>
      </c>
      <c r="N44" s="6">
        <v>11.34</v>
      </c>
      <c r="O44" s="2">
        <v>42</v>
      </c>
      <c r="P44" s="6">
        <v>8.1</v>
      </c>
      <c r="Q44" s="2">
        <v>42</v>
      </c>
      <c r="R44" s="6">
        <v>5.05</v>
      </c>
      <c r="S44" s="2">
        <v>42</v>
      </c>
      <c r="T44" s="6">
        <v>4.04</v>
      </c>
      <c r="U44" s="2">
        <v>42</v>
      </c>
      <c r="V44" s="6">
        <v>3.71</v>
      </c>
      <c r="W44" s="2">
        <v>42</v>
      </c>
      <c r="X44" s="13">
        <f t="shared" si="5"/>
        <v>7.13</v>
      </c>
      <c r="Y44" s="2">
        <v>42</v>
      </c>
      <c r="Z44" s="6">
        <v>5.18</v>
      </c>
      <c r="AB44" s="6">
        <v>3.6</v>
      </c>
      <c r="AC44" s="6">
        <v>3.53</v>
      </c>
      <c r="AD44" s="2">
        <v>42</v>
      </c>
      <c r="AE44" s="6">
        <v>437.64</v>
      </c>
      <c r="AF44" s="2">
        <v>42</v>
      </c>
      <c r="AG44" s="6">
        <v>41.28</v>
      </c>
      <c r="AH44" s="2">
        <v>42</v>
      </c>
      <c r="AI44" s="6">
        <v>150.08000000000001</v>
      </c>
      <c r="AJ44" s="2">
        <v>42</v>
      </c>
      <c r="AK44" s="6">
        <v>410.55</v>
      </c>
      <c r="AL44" s="2">
        <v>42</v>
      </c>
      <c r="AM44" s="72">
        <f t="shared" si="2"/>
        <v>629</v>
      </c>
      <c r="AN44" s="2">
        <v>42</v>
      </c>
      <c r="AO44" s="72">
        <f t="shared" si="3"/>
        <v>410.18000000000006</v>
      </c>
      <c r="AP44" s="2">
        <v>42</v>
      </c>
      <c r="AQ44" s="73">
        <f t="shared" si="4"/>
        <v>327.21666666666704</v>
      </c>
      <c r="AR44" s="2">
        <v>42</v>
      </c>
      <c r="AS44" s="6">
        <v>0.43</v>
      </c>
    </row>
    <row r="45" spans="1:45" x14ac:dyDescent="0.25">
      <c r="A45" s="2">
        <v>43</v>
      </c>
      <c r="B45" s="6">
        <v>424.01</v>
      </c>
      <c r="C45" s="2">
        <v>43</v>
      </c>
      <c r="D45" s="6">
        <v>320.18</v>
      </c>
      <c r="E45" s="2">
        <v>43</v>
      </c>
      <c r="F45" s="6">
        <v>535.83000000000004</v>
      </c>
      <c r="G45" s="2">
        <v>43</v>
      </c>
      <c r="H45" s="134">
        <v>83.4</v>
      </c>
      <c r="I45" s="2">
        <v>43</v>
      </c>
      <c r="J45" s="6">
        <v>25.02</v>
      </c>
      <c r="K45" s="2">
        <v>43</v>
      </c>
      <c r="L45" s="6">
        <v>44.21</v>
      </c>
      <c r="M45" s="2">
        <v>43</v>
      </c>
      <c r="N45" s="6">
        <v>11.67</v>
      </c>
      <c r="O45" s="2">
        <v>43</v>
      </c>
      <c r="P45" s="6">
        <v>8.33</v>
      </c>
      <c r="Q45" s="2">
        <v>43</v>
      </c>
      <c r="R45" s="6">
        <v>5.25</v>
      </c>
      <c r="S45" s="2">
        <v>43</v>
      </c>
      <c r="T45" s="6">
        <v>4.21</v>
      </c>
      <c r="U45" s="2">
        <v>43</v>
      </c>
      <c r="V45" s="6">
        <v>3.86</v>
      </c>
      <c r="W45" s="2">
        <v>43</v>
      </c>
      <c r="X45" s="13">
        <f t="shared" si="5"/>
        <v>7.48</v>
      </c>
      <c r="Y45" s="2">
        <v>43</v>
      </c>
      <c r="Z45" s="6">
        <v>5.18</v>
      </c>
      <c r="AB45" s="6">
        <v>3.78</v>
      </c>
      <c r="AC45" s="6">
        <v>3.7</v>
      </c>
      <c r="AD45" s="2">
        <v>43</v>
      </c>
      <c r="AE45" s="6">
        <v>444.06</v>
      </c>
      <c r="AF45" s="2">
        <v>43</v>
      </c>
      <c r="AG45" s="6">
        <v>41.51</v>
      </c>
      <c r="AH45" s="2">
        <v>43</v>
      </c>
      <c r="AI45" s="6">
        <v>154.69999999999999</v>
      </c>
      <c r="AJ45" s="2">
        <v>43</v>
      </c>
      <c r="AK45" s="6">
        <v>418.77</v>
      </c>
      <c r="AL45" s="2">
        <v>43</v>
      </c>
      <c r="AM45" s="72">
        <f t="shared" si="2"/>
        <v>640.27</v>
      </c>
      <c r="AN45" s="2">
        <v>43</v>
      </c>
      <c r="AO45" s="72">
        <f t="shared" si="3"/>
        <v>418.24</v>
      </c>
      <c r="AP45" s="2">
        <v>43</v>
      </c>
      <c r="AQ45" s="73">
        <f t="shared" si="4"/>
        <v>335.43666666666695</v>
      </c>
      <c r="AR45" s="2">
        <v>43</v>
      </c>
      <c r="AS45" s="6">
        <v>0.45</v>
      </c>
    </row>
    <row r="46" spans="1:45" x14ac:dyDescent="0.25">
      <c r="A46" s="2">
        <v>44</v>
      </c>
      <c r="B46" s="6">
        <v>434.8</v>
      </c>
      <c r="C46" s="2">
        <v>44</v>
      </c>
      <c r="D46" s="6">
        <v>329.39</v>
      </c>
      <c r="E46" s="2">
        <v>44</v>
      </c>
      <c r="F46" s="6">
        <v>549.09</v>
      </c>
      <c r="G46" s="2">
        <v>44</v>
      </c>
      <c r="H46" s="134">
        <v>85.95</v>
      </c>
      <c r="I46" s="2">
        <v>44</v>
      </c>
      <c r="J46" s="6">
        <v>25.33</v>
      </c>
      <c r="K46" s="2">
        <v>44</v>
      </c>
      <c r="L46" s="6">
        <v>45.47</v>
      </c>
      <c r="M46" s="2">
        <v>44</v>
      </c>
      <c r="N46" s="6">
        <v>12</v>
      </c>
      <c r="O46" s="2">
        <v>44</v>
      </c>
      <c r="P46" s="6">
        <v>8.57</v>
      </c>
      <c r="Q46" s="2">
        <v>44</v>
      </c>
      <c r="R46" s="6">
        <v>5.45</v>
      </c>
      <c r="S46" s="2">
        <v>44</v>
      </c>
      <c r="T46" s="6">
        <v>4.4000000000000004</v>
      </c>
      <c r="U46" s="2">
        <v>44</v>
      </c>
      <c r="V46" s="6">
        <v>4.01</v>
      </c>
      <c r="W46" s="2">
        <v>44</v>
      </c>
      <c r="X46" s="13">
        <f t="shared" si="5"/>
        <v>7.85</v>
      </c>
      <c r="Y46" s="2">
        <v>44</v>
      </c>
      <c r="Z46" s="6">
        <v>5.18</v>
      </c>
      <c r="AB46" s="6">
        <v>3.96</v>
      </c>
      <c r="AC46" s="6">
        <v>3.89</v>
      </c>
      <c r="AD46" s="2">
        <v>44</v>
      </c>
      <c r="AE46" s="6">
        <v>450.66</v>
      </c>
      <c r="AF46" s="2">
        <v>44</v>
      </c>
      <c r="AG46" s="6">
        <v>41.74</v>
      </c>
      <c r="AH46" s="2">
        <v>44</v>
      </c>
      <c r="AI46" s="6">
        <v>159.44999999999999</v>
      </c>
      <c r="AJ46" s="2">
        <v>44</v>
      </c>
      <c r="AK46" s="6">
        <v>427.25</v>
      </c>
      <c r="AL46" s="2">
        <v>44</v>
      </c>
      <c r="AM46" s="72">
        <f t="shared" si="2"/>
        <v>651.85</v>
      </c>
      <c r="AN46" s="2">
        <v>44</v>
      </c>
      <c r="AO46" s="72">
        <f t="shared" si="3"/>
        <v>426.52</v>
      </c>
      <c r="AP46" s="2">
        <v>44</v>
      </c>
      <c r="AQ46" s="73">
        <f t="shared" si="4"/>
        <v>343.91666666666697</v>
      </c>
      <c r="AR46" s="2">
        <v>44</v>
      </c>
      <c r="AS46" s="6">
        <v>0.46</v>
      </c>
    </row>
    <row r="47" spans="1:45" x14ac:dyDescent="0.25">
      <c r="A47" s="2">
        <v>45</v>
      </c>
      <c r="B47" s="6">
        <v>445.83</v>
      </c>
      <c r="C47" s="2">
        <v>45</v>
      </c>
      <c r="D47" s="6">
        <v>338.86</v>
      </c>
      <c r="E47" s="2">
        <v>45</v>
      </c>
      <c r="F47" s="6">
        <v>562.58000000000004</v>
      </c>
      <c r="G47" s="2">
        <v>45</v>
      </c>
      <c r="H47" s="134">
        <v>88.62</v>
      </c>
      <c r="I47" s="2">
        <v>45</v>
      </c>
      <c r="J47" s="6">
        <v>25.65</v>
      </c>
      <c r="K47" s="2">
        <v>45</v>
      </c>
      <c r="L47" s="6">
        <v>46.76</v>
      </c>
      <c r="M47" s="2">
        <v>45</v>
      </c>
      <c r="N47" s="6">
        <v>12.34</v>
      </c>
      <c r="O47" s="2">
        <v>45</v>
      </c>
      <c r="P47" s="6">
        <v>8.81</v>
      </c>
      <c r="Q47" s="2">
        <v>45</v>
      </c>
      <c r="R47" s="6">
        <v>5.67</v>
      </c>
      <c r="S47" s="2">
        <v>45</v>
      </c>
      <c r="T47" s="6">
        <v>4.59</v>
      </c>
      <c r="U47" s="2">
        <v>45</v>
      </c>
      <c r="V47" s="6">
        <v>4.17</v>
      </c>
      <c r="W47" s="2">
        <v>45</v>
      </c>
      <c r="X47" s="13">
        <f t="shared" si="5"/>
        <v>8.23</v>
      </c>
      <c r="Y47" s="2">
        <v>45</v>
      </c>
      <c r="Z47" s="6">
        <v>5.18</v>
      </c>
      <c r="AB47" s="6">
        <v>4.1500000000000004</v>
      </c>
      <c r="AC47" s="6">
        <v>4.08</v>
      </c>
      <c r="AD47" s="2">
        <v>45</v>
      </c>
      <c r="AE47" s="6">
        <v>457.44</v>
      </c>
      <c r="AF47" s="2">
        <v>45</v>
      </c>
      <c r="AG47" s="6">
        <v>41.98</v>
      </c>
      <c r="AH47" s="2">
        <v>45</v>
      </c>
      <c r="AI47" s="6">
        <v>164.35</v>
      </c>
      <c r="AJ47" s="2">
        <v>45</v>
      </c>
      <c r="AK47" s="6">
        <v>435.99</v>
      </c>
      <c r="AL47" s="2">
        <v>45</v>
      </c>
      <c r="AM47" s="72">
        <f t="shared" si="2"/>
        <v>663.77</v>
      </c>
      <c r="AN47" s="2">
        <v>45</v>
      </c>
      <c r="AO47" s="72">
        <f t="shared" si="3"/>
        <v>435.04999999999995</v>
      </c>
      <c r="AP47" s="2">
        <v>45</v>
      </c>
      <c r="AQ47" s="73">
        <f t="shared" si="4"/>
        <v>352.65666666666698</v>
      </c>
      <c r="AR47" s="2">
        <v>45</v>
      </c>
      <c r="AS47" s="6">
        <v>0.48</v>
      </c>
    </row>
    <row r="48" spans="1:45" x14ac:dyDescent="0.25">
      <c r="A48" s="2">
        <v>46</v>
      </c>
      <c r="B48" s="6">
        <v>457.13</v>
      </c>
      <c r="C48" s="2">
        <v>46</v>
      </c>
      <c r="D48" s="6">
        <v>348.6</v>
      </c>
      <c r="E48" s="2">
        <v>46</v>
      </c>
      <c r="F48" s="6">
        <v>576.29999999999995</v>
      </c>
      <c r="G48" s="2">
        <v>46</v>
      </c>
      <c r="H48" s="134">
        <v>91.43</v>
      </c>
      <c r="I48" s="2">
        <v>46</v>
      </c>
      <c r="J48" s="6">
        <v>26</v>
      </c>
      <c r="K48" s="2">
        <v>46</v>
      </c>
      <c r="L48" s="6">
        <v>48.09</v>
      </c>
      <c r="M48" s="2">
        <v>46</v>
      </c>
      <c r="N48" s="6">
        <v>12.68</v>
      </c>
      <c r="O48" s="2">
        <v>46</v>
      </c>
      <c r="P48" s="6">
        <v>9.06</v>
      </c>
      <c r="Q48" s="2">
        <v>46</v>
      </c>
      <c r="R48" s="6">
        <v>5.89</v>
      </c>
      <c r="S48" s="2">
        <v>46</v>
      </c>
      <c r="T48" s="6">
        <v>4.79</v>
      </c>
      <c r="U48" s="2">
        <v>46</v>
      </c>
      <c r="V48" s="6">
        <v>4.34</v>
      </c>
      <c r="W48" s="2">
        <v>46</v>
      </c>
      <c r="X48" s="13">
        <f t="shared" si="5"/>
        <v>8.629999999999999</v>
      </c>
      <c r="Y48" s="2">
        <v>46</v>
      </c>
      <c r="Z48" s="6">
        <v>5.18</v>
      </c>
      <c r="AB48" s="6">
        <v>4.3499999999999996</v>
      </c>
      <c r="AC48" s="6">
        <v>4.28</v>
      </c>
      <c r="AD48" s="2">
        <v>46</v>
      </c>
      <c r="AE48" s="6">
        <v>464.41</v>
      </c>
      <c r="AF48" s="2">
        <v>46</v>
      </c>
      <c r="AG48" s="6">
        <v>42.21</v>
      </c>
      <c r="AH48" s="2">
        <v>46</v>
      </c>
      <c r="AI48" s="6">
        <v>169.4</v>
      </c>
      <c r="AJ48" s="2">
        <v>46</v>
      </c>
      <c r="AK48" s="6">
        <v>445.01</v>
      </c>
      <c r="AL48" s="2">
        <v>46</v>
      </c>
      <c r="AM48" s="72">
        <f t="shared" si="2"/>
        <v>676.02</v>
      </c>
      <c r="AN48" s="2">
        <v>46</v>
      </c>
      <c r="AO48" s="72">
        <f t="shared" si="3"/>
        <v>443.81500000000005</v>
      </c>
      <c r="AP48" s="2">
        <v>46</v>
      </c>
      <c r="AQ48" s="73">
        <f t="shared" si="4"/>
        <v>361.67666666666696</v>
      </c>
      <c r="AR48" s="2">
        <v>46</v>
      </c>
      <c r="AS48" s="6">
        <v>0.5</v>
      </c>
    </row>
    <row r="49" spans="1:45" x14ac:dyDescent="0.25">
      <c r="A49" s="2">
        <v>47</v>
      </c>
      <c r="B49" s="6">
        <v>468.7</v>
      </c>
      <c r="C49" s="2">
        <v>47</v>
      </c>
      <c r="D49" s="6">
        <v>358.64</v>
      </c>
      <c r="E49" s="2">
        <v>47</v>
      </c>
      <c r="F49" s="6">
        <v>590.28</v>
      </c>
      <c r="G49" s="2">
        <v>47</v>
      </c>
      <c r="H49" s="134">
        <v>94.39</v>
      </c>
      <c r="I49" s="2">
        <v>47</v>
      </c>
      <c r="J49" s="6">
        <v>26.35</v>
      </c>
      <c r="K49" s="2">
        <v>47</v>
      </c>
      <c r="L49" s="6">
        <v>49.46</v>
      </c>
      <c r="M49" s="2">
        <v>47</v>
      </c>
      <c r="N49" s="6">
        <v>13.04</v>
      </c>
      <c r="O49" s="2">
        <v>47</v>
      </c>
      <c r="P49" s="6">
        <v>9.31</v>
      </c>
      <c r="Q49" s="2">
        <v>47</v>
      </c>
      <c r="R49" s="6">
        <v>6.13</v>
      </c>
      <c r="S49" s="2">
        <v>47</v>
      </c>
      <c r="T49" s="6">
        <v>5</v>
      </c>
      <c r="U49" s="2">
        <v>47</v>
      </c>
      <c r="V49" s="6">
        <v>4.5199999999999996</v>
      </c>
      <c r="W49" s="2">
        <v>47</v>
      </c>
      <c r="X49" s="13">
        <f t="shared" si="5"/>
        <v>9.0500000000000007</v>
      </c>
      <c r="Y49" s="2">
        <v>47</v>
      </c>
      <c r="Z49" s="6">
        <v>5.18</v>
      </c>
      <c r="AB49" s="6">
        <v>4.5599999999999996</v>
      </c>
      <c r="AC49" s="6">
        <v>4.49</v>
      </c>
      <c r="AD49" s="2">
        <v>47</v>
      </c>
      <c r="AE49" s="6">
        <v>471.6</v>
      </c>
      <c r="AF49" s="2">
        <v>47</v>
      </c>
      <c r="AG49" s="6">
        <v>42.45</v>
      </c>
      <c r="AH49" s="2">
        <v>47</v>
      </c>
      <c r="AI49" s="6">
        <v>174.63</v>
      </c>
      <c r="AJ49" s="2">
        <v>47</v>
      </c>
      <c r="AK49" s="6">
        <v>454.34</v>
      </c>
      <c r="AL49" s="2">
        <v>47</v>
      </c>
      <c r="AM49" s="72">
        <f t="shared" si="2"/>
        <v>688.68000000000006</v>
      </c>
      <c r="AN49" s="2">
        <v>47</v>
      </c>
      <c r="AO49" s="72">
        <f t="shared" si="3"/>
        <v>452.88</v>
      </c>
      <c r="AP49" s="2">
        <v>47</v>
      </c>
      <c r="AQ49" s="73">
        <f t="shared" si="4"/>
        <v>371.006666666667</v>
      </c>
      <c r="AR49" s="2">
        <v>47</v>
      </c>
      <c r="AS49" s="6">
        <v>0.51</v>
      </c>
    </row>
    <row r="50" spans="1:45" x14ac:dyDescent="0.25">
      <c r="A50" s="2">
        <v>48</v>
      </c>
      <c r="B50" s="6">
        <v>480.57</v>
      </c>
      <c r="C50" s="2">
        <v>48</v>
      </c>
      <c r="D50" s="6">
        <v>369</v>
      </c>
      <c r="E50" s="2">
        <v>48</v>
      </c>
      <c r="F50" s="6">
        <v>604.54999999999995</v>
      </c>
      <c r="G50" s="2">
        <v>48</v>
      </c>
      <c r="H50" s="134">
        <v>97.5</v>
      </c>
      <c r="I50" s="2">
        <v>48</v>
      </c>
      <c r="J50" s="6">
        <v>26.73</v>
      </c>
      <c r="K50" s="2">
        <v>48</v>
      </c>
      <c r="L50" s="6">
        <v>50.87</v>
      </c>
      <c r="M50" s="2">
        <v>48</v>
      </c>
      <c r="N50" s="6">
        <v>13.4</v>
      </c>
      <c r="O50" s="2">
        <v>48</v>
      </c>
      <c r="P50" s="6">
        <v>9.57</v>
      </c>
      <c r="Q50" s="2">
        <v>48</v>
      </c>
      <c r="R50" s="6">
        <v>6.38</v>
      </c>
      <c r="S50" s="2">
        <v>48</v>
      </c>
      <c r="T50" s="6">
        <v>5.22</v>
      </c>
      <c r="U50" s="2">
        <v>48</v>
      </c>
      <c r="V50" s="6">
        <v>4.71</v>
      </c>
      <c r="W50" s="2">
        <v>48</v>
      </c>
      <c r="X50" s="13">
        <f t="shared" si="5"/>
        <v>9.5</v>
      </c>
      <c r="Y50" s="2">
        <v>48</v>
      </c>
      <c r="Z50" s="6">
        <v>5.18</v>
      </c>
      <c r="AB50" s="6">
        <v>4.78</v>
      </c>
      <c r="AC50" s="6">
        <v>4.72</v>
      </c>
      <c r="AD50" s="2">
        <v>48</v>
      </c>
      <c r="AE50" s="6">
        <v>479.02</v>
      </c>
      <c r="AF50" s="2">
        <v>48</v>
      </c>
      <c r="AG50" s="6">
        <v>42.69</v>
      </c>
      <c r="AH50" s="2">
        <v>48</v>
      </c>
      <c r="AI50" s="6">
        <v>180.04</v>
      </c>
      <c r="AJ50" s="2">
        <v>48</v>
      </c>
      <c r="AK50" s="6">
        <v>463.99</v>
      </c>
      <c r="AL50" s="2">
        <v>48</v>
      </c>
      <c r="AM50" s="72">
        <f t="shared" si="2"/>
        <v>701.75</v>
      </c>
      <c r="AN50" s="2">
        <v>48</v>
      </c>
      <c r="AO50" s="72">
        <f t="shared" si="3"/>
        <v>462.24</v>
      </c>
      <c r="AP50" s="2">
        <v>48</v>
      </c>
      <c r="AQ50" s="73">
        <f t="shared" si="4"/>
        <v>380.65666666666698</v>
      </c>
      <c r="AR50" s="2">
        <v>48</v>
      </c>
      <c r="AS50" s="6">
        <v>0.53</v>
      </c>
    </row>
    <row r="51" spans="1:45" x14ac:dyDescent="0.25">
      <c r="A51" s="2">
        <v>49</v>
      </c>
      <c r="B51" s="6">
        <v>492.66</v>
      </c>
      <c r="C51" s="2">
        <v>49</v>
      </c>
      <c r="D51" s="6">
        <v>379.53</v>
      </c>
      <c r="E51" s="2">
        <v>49</v>
      </c>
      <c r="F51" s="6">
        <v>618.73</v>
      </c>
      <c r="G51" s="2">
        <v>49</v>
      </c>
      <c r="H51" s="134">
        <v>100.78</v>
      </c>
      <c r="I51" s="2">
        <v>49</v>
      </c>
      <c r="J51" s="6">
        <v>27.11</v>
      </c>
      <c r="K51" s="2">
        <v>49</v>
      </c>
      <c r="L51" s="6">
        <v>52.31</v>
      </c>
      <c r="M51" s="2">
        <v>49</v>
      </c>
      <c r="N51" s="6">
        <v>13.78</v>
      </c>
      <c r="O51" s="2">
        <v>49</v>
      </c>
      <c r="P51" s="6">
        <v>9.84</v>
      </c>
      <c r="Q51" s="2">
        <v>49</v>
      </c>
      <c r="R51" s="6">
        <v>6.64</v>
      </c>
      <c r="S51" s="2">
        <v>49</v>
      </c>
      <c r="T51" s="6">
        <v>5.45</v>
      </c>
      <c r="U51" s="2">
        <v>49</v>
      </c>
      <c r="V51" s="6">
        <v>4.9000000000000004</v>
      </c>
      <c r="W51" s="2">
        <v>49</v>
      </c>
      <c r="X51" s="13">
        <f t="shared" si="5"/>
        <v>9.9600000000000009</v>
      </c>
      <c r="Y51" s="2">
        <v>49</v>
      </c>
      <c r="AB51" s="6">
        <v>5.01</v>
      </c>
      <c r="AC51" s="6">
        <v>4.95</v>
      </c>
      <c r="AD51" s="2">
        <v>49</v>
      </c>
      <c r="AE51" s="6">
        <v>486.6</v>
      </c>
      <c r="AF51" s="2">
        <v>49</v>
      </c>
      <c r="AG51" s="6">
        <v>42.94</v>
      </c>
      <c r="AH51" s="2">
        <v>49</v>
      </c>
      <c r="AI51" s="6">
        <v>185.58</v>
      </c>
      <c r="AJ51" s="2">
        <v>49</v>
      </c>
      <c r="AK51" s="6">
        <v>473.85</v>
      </c>
      <c r="AL51" s="2">
        <v>49</v>
      </c>
      <c r="AM51" s="72">
        <f t="shared" si="2"/>
        <v>715.12</v>
      </c>
      <c r="AN51" s="2">
        <v>49</v>
      </c>
      <c r="AO51" s="72">
        <f t="shared" si="3"/>
        <v>471.82000000000005</v>
      </c>
      <c r="AP51" s="2">
        <v>49</v>
      </c>
      <c r="AQ51" s="73">
        <f t="shared" si="4"/>
        <v>390.51666666666699</v>
      </c>
      <c r="AR51" s="2">
        <v>49</v>
      </c>
      <c r="AS51" s="6">
        <v>0.55000000000000004</v>
      </c>
    </row>
    <row r="52" spans="1:45" x14ac:dyDescent="0.25">
      <c r="A52" s="2">
        <v>50</v>
      </c>
      <c r="B52" s="6">
        <v>504.99</v>
      </c>
      <c r="C52" s="2">
        <v>50</v>
      </c>
      <c r="D52" s="6">
        <v>390.23</v>
      </c>
      <c r="E52" s="2">
        <v>50</v>
      </c>
      <c r="F52" s="6">
        <v>632.79999999999995</v>
      </c>
      <c r="G52" s="2">
        <v>50</v>
      </c>
      <c r="H52" s="134">
        <v>104.25</v>
      </c>
      <c r="I52" s="2">
        <v>50</v>
      </c>
      <c r="J52" s="6">
        <v>27.49</v>
      </c>
      <c r="K52" s="2">
        <v>50</v>
      </c>
      <c r="L52" s="6">
        <v>53.79</v>
      </c>
      <c r="M52" s="2">
        <v>50</v>
      </c>
      <c r="N52" s="6">
        <v>14.16</v>
      </c>
      <c r="O52" s="2">
        <v>50</v>
      </c>
      <c r="P52" s="6">
        <v>10.11</v>
      </c>
      <c r="Q52" s="2">
        <v>50</v>
      </c>
      <c r="R52" s="6">
        <v>6.91</v>
      </c>
      <c r="S52" s="2">
        <v>50</v>
      </c>
      <c r="T52" s="6">
        <v>5.7</v>
      </c>
      <c r="U52" s="2">
        <v>50</v>
      </c>
      <c r="V52" s="6">
        <v>5.1100000000000003</v>
      </c>
      <c r="W52" s="2">
        <v>50</v>
      </c>
      <c r="X52" s="13">
        <f t="shared" si="5"/>
        <v>10.45</v>
      </c>
      <c r="Y52" s="2">
        <v>50</v>
      </c>
      <c r="AB52" s="6">
        <v>5.25</v>
      </c>
      <c r="AC52" s="6">
        <v>5.2</v>
      </c>
      <c r="AD52" s="2">
        <v>50</v>
      </c>
      <c r="AE52" s="6">
        <v>494.35</v>
      </c>
      <c r="AF52" s="2">
        <v>50</v>
      </c>
      <c r="AG52" s="6">
        <v>43.19</v>
      </c>
      <c r="AH52" s="2">
        <v>50</v>
      </c>
      <c r="AI52" s="6">
        <v>191.25</v>
      </c>
      <c r="AJ52" s="2">
        <v>50</v>
      </c>
      <c r="AK52" s="6">
        <v>483.9</v>
      </c>
      <c r="AL52" s="2">
        <v>50</v>
      </c>
      <c r="AM52" s="72">
        <f t="shared" si="2"/>
        <v>728.79</v>
      </c>
      <c r="AN52" s="2">
        <v>50</v>
      </c>
      <c r="AO52" s="72">
        <f t="shared" si="3"/>
        <v>481.61500000000001</v>
      </c>
      <c r="AP52" s="2">
        <v>50</v>
      </c>
      <c r="AQ52" s="73">
        <f t="shared" si="4"/>
        <v>400.56666666666695</v>
      </c>
      <c r="AR52" s="2">
        <v>50</v>
      </c>
      <c r="AS52" s="6">
        <v>0.56999999999999995</v>
      </c>
    </row>
    <row r="53" spans="1:45" x14ac:dyDescent="0.25">
      <c r="A53" s="2">
        <v>51</v>
      </c>
      <c r="B53" s="6">
        <v>517.53</v>
      </c>
      <c r="C53" s="2">
        <v>51</v>
      </c>
      <c r="D53" s="6">
        <v>401.09</v>
      </c>
      <c r="E53" s="2">
        <v>51</v>
      </c>
      <c r="F53" s="6">
        <v>646.75</v>
      </c>
      <c r="G53" s="2">
        <v>51</v>
      </c>
      <c r="H53" s="134">
        <v>107.9</v>
      </c>
      <c r="I53" s="2">
        <v>51</v>
      </c>
      <c r="J53" s="6">
        <v>27.88</v>
      </c>
      <c r="K53" s="2">
        <v>51</v>
      </c>
      <c r="L53" s="6">
        <v>55.29</v>
      </c>
      <c r="M53" s="2">
        <v>51</v>
      </c>
      <c r="N53" s="6">
        <v>14.55</v>
      </c>
      <c r="O53" s="2">
        <v>51</v>
      </c>
      <c r="P53" s="6">
        <v>10.39</v>
      </c>
      <c r="Q53" s="2">
        <v>51</v>
      </c>
      <c r="R53" s="6">
        <v>7.2</v>
      </c>
      <c r="S53" s="2">
        <v>51</v>
      </c>
      <c r="T53" s="6">
        <v>5.95</v>
      </c>
      <c r="U53" s="2">
        <v>51</v>
      </c>
      <c r="V53" s="6">
        <v>5.32</v>
      </c>
      <c r="W53" s="2">
        <v>51</v>
      </c>
      <c r="X53" s="13">
        <f t="shared" si="5"/>
        <v>10.96</v>
      </c>
      <c r="Y53" s="2">
        <v>51</v>
      </c>
      <c r="AB53" s="6">
        <v>5.5</v>
      </c>
      <c r="AC53" s="6">
        <v>5.46</v>
      </c>
      <c r="AD53" s="2">
        <v>51</v>
      </c>
      <c r="AE53" s="6">
        <v>502.27</v>
      </c>
      <c r="AF53" s="2">
        <v>51</v>
      </c>
      <c r="AG53" s="6">
        <v>43.42</v>
      </c>
      <c r="AH53" s="2">
        <v>51</v>
      </c>
      <c r="AI53" s="6">
        <v>197.05</v>
      </c>
      <c r="AJ53" s="2">
        <v>51</v>
      </c>
      <c r="AK53" s="6">
        <v>494.15</v>
      </c>
      <c r="AL53" s="2">
        <v>51</v>
      </c>
      <c r="AM53" s="72">
        <f t="shared" si="2"/>
        <v>742.74</v>
      </c>
      <c r="AN53" s="2">
        <v>51</v>
      </c>
      <c r="AO53" s="72">
        <f t="shared" si="3"/>
        <v>491.60500000000002</v>
      </c>
      <c r="AP53" s="2">
        <v>51</v>
      </c>
      <c r="AQ53" s="73">
        <f t="shared" si="4"/>
        <v>410.81666666666695</v>
      </c>
      <c r="AR53" s="2">
        <v>51</v>
      </c>
      <c r="AS53" s="6">
        <v>0.59</v>
      </c>
    </row>
    <row r="54" spans="1:45" x14ac:dyDescent="0.25">
      <c r="A54" s="2">
        <v>52</v>
      </c>
      <c r="B54" s="6">
        <v>530.29999999999995</v>
      </c>
      <c r="C54" s="2">
        <v>52</v>
      </c>
      <c r="D54" s="6">
        <v>412.13</v>
      </c>
      <c r="E54" s="2">
        <v>52</v>
      </c>
      <c r="F54" s="6">
        <v>660.56</v>
      </c>
      <c r="G54" s="2">
        <v>52</v>
      </c>
      <c r="H54" s="134">
        <v>111.76</v>
      </c>
      <c r="I54" s="2">
        <v>52</v>
      </c>
      <c r="J54" s="6">
        <v>28.27</v>
      </c>
      <c r="K54" s="2">
        <v>52</v>
      </c>
      <c r="L54" s="6">
        <v>56.84</v>
      </c>
      <c r="M54" s="2">
        <v>52</v>
      </c>
      <c r="N54" s="6">
        <v>14.95</v>
      </c>
      <c r="O54" s="2">
        <v>52</v>
      </c>
      <c r="P54" s="6">
        <v>10.68</v>
      </c>
      <c r="Q54" s="2">
        <v>52</v>
      </c>
      <c r="R54" s="6">
        <v>7.5</v>
      </c>
      <c r="S54" s="2">
        <v>52</v>
      </c>
      <c r="T54" s="6">
        <v>6.22</v>
      </c>
      <c r="U54" s="2">
        <v>52</v>
      </c>
      <c r="V54" s="6">
        <v>5.55</v>
      </c>
      <c r="W54" s="2">
        <v>52</v>
      </c>
      <c r="X54" s="13">
        <f t="shared" si="5"/>
        <v>11.51</v>
      </c>
      <c r="Y54" s="2">
        <v>52</v>
      </c>
      <c r="AB54" s="6">
        <v>5.77</v>
      </c>
      <c r="AC54" s="6">
        <v>5.74</v>
      </c>
      <c r="AD54" s="2">
        <v>52</v>
      </c>
      <c r="AE54" s="6">
        <v>510.35</v>
      </c>
      <c r="AF54" s="2">
        <v>52</v>
      </c>
      <c r="AG54" s="6">
        <v>43.65</v>
      </c>
      <c r="AH54" s="2">
        <v>52</v>
      </c>
      <c r="AI54" s="6">
        <v>203</v>
      </c>
      <c r="AJ54" s="2">
        <v>52</v>
      </c>
      <c r="AK54" s="6">
        <v>504.61</v>
      </c>
      <c r="AL54" s="2">
        <v>52</v>
      </c>
      <c r="AM54" s="72">
        <f t="shared" si="2"/>
        <v>757</v>
      </c>
      <c r="AN54" s="2">
        <v>52</v>
      </c>
      <c r="AO54" s="72">
        <f t="shared" si="3"/>
        <v>501.82499999999999</v>
      </c>
      <c r="AP54" s="2">
        <v>52</v>
      </c>
      <c r="AQ54" s="73">
        <f t="shared" si="4"/>
        <v>421.27666666666698</v>
      </c>
      <c r="AR54" s="2">
        <v>52</v>
      </c>
      <c r="AS54" s="6">
        <v>0.61</v>
      </c>
    </row>
    <row r="55" spans="1:45" x14ac:dyDescent="0.25">
      <c r="A55" s="2">
        <v>53</v>
      </c>
      <c r="B55" s="6">
        <v>543.29</v>
      </c>
      <c r="C55" s="2">
        <v>53</v>
      </c>
      <c r="D55" s="6">
        <v>423.33</v>
      </c>
      <c r="E55" s="2">
        <v>53</v>
      </c>
      <c r="F55" s="6">
        <v>674.21</v>
      </c>
      <c r="G55" s="2">
        <v>53</v>
      </c>
      <c r="H55" s="134">
        <v>115.82</v>
      </c>
      <c r="I55" s="2">
        <v>53</v>
      </c>
      <c r="J55" s="6">
        <v>28.66</v>
      </c>
      <c r="K55" s="2">
        <v>53</v>
      </c>
      <c r="L55" s="6">
        <v>58.43</v>
      </c>
      <c r="M55" s="2">
        <v>53</v>
      </c>
      <c r="N55" s="6">
        <v>15.36</v>
      </c>
      <c r="O55" s="2">
        <v>53</v>
      </c>
      <c r="P55" s="6">
        <v>10.97</v>
      </c>
      <c r="Q55" s="2">
        <v>53</v>
      </c>
      <c r="R55" s="6">
        <v>7.83</v>
      </c>
      <c r="S55" s="2">
        <v>53</v>
      </c>
      <c r="T55" s="6">
        <v>6.51</v>
      </c>
      <c r="U55" s="2">
        <v>53</v>
      </c>
      <c r="V55" s="6">
        <v>5.79</v>
      </c>
      <c r="W55" s="2">
        <v>53</v>
      </c>
      <c r="X55" s="13">
        <f t="shared" si="5"/>
        <v>12.08</v>
      </c>
      <c r="Y55" s="2">
        <v>53</v>
      </c>
      <c r="AB55" s="6">
        <v>6.05</v>
      </c>
      <c r="AC55" s="6">
        <v>6.03</v>
      </c>
      <c r="AD55" s="2">
        <v>53</v>
      </c>
      <c r="AE55" s="6">
        <v>518.6</v>
      </c>
      <c r="AF55" s="2">
        <v>53</v>
      </c>
      <c r="AG55" s="6">
        <v>43.86</v>
      </c>
      <c r="AH55" s="2">
        <v>53</v>
      </c>
      <c r="AI55" s="6">
        <v>209.08</v>
      </c>
      <c r="AJ55" s="2">
        <v>53</v>
      </c>
      <c r="AK55" s="6">
        <v>515.26</v>
      </c>
      <c r="AL55" s="2">
        <v>53</v>
      </c>
      <c r="AM55" s="72">
        <f t="shared" si="2"/>
        <v>771.54000000000008</v>
      </c>
      <c r="AN55" s="2">
        <v>53</v>
      </c>
      <c r="AO55" s="72">
        <f t="shared" si="3"/>
        <v>512.24</v>
      </c>
      <c r="AP55" s="2">
        <v>53</v>
      </c>
      <c r="AQ55" s="73">
        <f t="shared" si="4"/>
        <v>431.92666666666696</v>
      </c>
      <c r="AR55" s="2">
        <v>53</v>
      </c>
      <c r="AS55" s="6">
        <v>0.62</v>
      </c>
    </row>
    <row r="56" spans="1:45" x14ac:dyDescent="0.25">
      <c r="A56" s="2">
        <v>54</v>
      </c>
      <c r="B56" s="6">
        <v>556.30999999999995</v>
      </c>
      <c r="C56" s="2">
        <v>54</v>
      </c>
      <c r="D56" s="6">
        <v>434.53</v>
      </c>
      <c r="E56" s="2">
        <v>54</v>
      </c>
      <c r="F56" s="6">
        <v>687.91</v>
      </c>
      <c r="G56" s="2">
        <v>54</v>
      </c>
      <c r="H56" s="134">
        <v>120.1</v>
      </c>
      <c r="I56" s="2">
        <v>54</v>
      </c>
      <c r="J56" s="6">
        <v>29.05</v>
      </c>
      <c r="K56" s="2">
        <v>54</v>
      </c>
      <c r="L56" s="6">
        <v>60.04</v>
      </c>
      <c r="M56" s="2">
        <v>54</v>
      </c>
      <c r="N56" s="6">
        <v>15.79</v>
      </c>
      <c r="O56" s="2">
        <v>54</v>
      </c>
      <c r="P56" s="6">
        <v>11.28</v>
      </c>
      <c r="Q56" s="2">
        <v>54</v>
      </c>
      <c r="R56" s="6">
        <v>8.17</v>
      </c>
      <c r="S56" s="2">
        <v>54</v>
      </c>
      <c r="T56" s="6">
        <v>6.81</v>
      </c>
      <c r="U56" s="2">
        <v>54</v>
      </c>
      <c r="V56" s="6">
        <v>6.04</v>
      </c>
      <c r="W56" s="2">
        <v>54</v>
      </c>
      <c r="X56" s="13">
        <f t="shared" si="5"/>
        <v>12.69</v>
      </c>
      <c r="Y56" s="2">
        <v>54</v>
      </c>
      <c r="AB56" s="6">
        <v>6.35</v>
      </c>
      <c r="AC56" s="6">
        <v>6.34</v>
      </c>
      <c r="AD56" s="2">
        <v>54</v>
      </c>
      <c r="AE56" s="6">
        <v>527</v>
      </c>
      <c r="AF56" s="2">
        <v>54</v>
      </c>
      <c r="AG56" s="6">
        <v>44.07</v>
      </c>
      <c r="AH56" s="2">
        <v>54</v>
      </c>
      <c r="AI56" s="6">
        <v>215.16</v>
      </c>
      <c r="AJ56" s="2">
        <v>54</v>
      </c>
      <c r="AK56" s="6">
        <v>526.12</v>
      </c>
      <c r="AL56" s="2">
        <v>54</v>
      </c>
      <c r="AM56" s="72">
        <f t="shared" si="2"/>
        <v>786.23</v>
      </c>
      <c r="AN56" s="2">
        <v>54</v>
      </c>
      <c r="AO56" s="72">
        <f t="shared" si="3"/>
        <v>522.73</v>
      </c>
      <c r="AP56" s="2">
        <v>54</v>
      </c>
      <c r="AQ56" s="73">
        <f t="shared" si="4"/>
        <v>442.78666666666697</v>
      </c>
      <c r="AR56" s="2">
        <v>54</v>
      </c>
      <c r="AS56" s="6">
        <v>0.64</v>
      </c>
    </row>
    <row r="57" spans="1:45" x14ac:dyDescent="0.25">
      <c r="A57" s="2">
        <v>55</v>
      </c>
      <c r="B57" s="6">
        <v>569.41</v>
      </c>
      <c r="C57" s="2">
        <v>55</v>
      </c>
      <c r="D57" s="6">
        <v>445.76</v>
      </c>
      <c r="E57" s="2">
        <v>55</v>
      </c>
      <c r="F57" s="6">
        <v>701.7</v>
      </c>
      <c r="G57" s="2">
        <v>55</v>
      </c>
      <c r="H57" s="134">
        <v>124.6</v>
      </c>
      <c r="I57" s="2">
        <v>55</v>
      </c>
      <c r="J57" s="6">
        <v>29.45</v>
      </c>
      <c r="K57" s="2">
        <v>55</v>
      </c>
      <c r="L57" s="6">
        <v>61.7</v>
      </c>
      <c r="M57" s="2">
        <v>55</v>
      </c>
      <c r="N57" s="6">
        <v>16.239999999999998</v>
      </c>
      <c r="O57" s="2">
        <v>55</v>
      </c>
      <c r="P57" s="6">
        <v>11.6</v>
      </c>
      <c r="Q57" s="2">
        <v>55</v>
      </c>
      <c r="R57" s="6">
        <v>8.5399999999999991</v>
      </c>
      <c r="S57" s="2">
        <v>55</v>
      </c>
      <c r="T57" s="6">
        <v>7.13</v>
      </c>
      <c r="U57" s="2">
        <v>55</v>
      </c>
      <c r="V57" s="6">
        <v>6.3</v>
      </c>
      <c r="W57" s="2">
        <v>55</v>
      </c>
      <c r="X57" s="13">
        <f t="shared" si="5"/>
        <v>13.33</v>
      </c>
      <c r="Y57" s="2">
        <v>55</v>
      </c>
      <c r="AB57" s="6">
        <v>6.66</v>
      </c>
      <c r="AC57" s="6">
        <v>6.67</v>
      </c>
      <c r="AD57" s="2">
        <v>55</v>
      </c>
      <c r="AE57" s="6">
        <v>535.59</v>
      </c>
      <c r="AF57" s="2">
        <v>55</v>
      </c>
      <c r="AG57" s="6">
        <v>44.26</v>
      </c>
      <c r="AH57" s="2">
        <v>55</v>
      </c>
      <c r="AI57" s="6">
        <v>221.28</v>
      </c>
      <c r="AJ57" s="2">
        <v>55</v>
      </c>
      <c r="AK57" s="6">
        <v>537.25</v>
      </c>
      <c r="AL57" s="2">
        <v>55</v>
      </c>
      <c r="AM57" s="72">
        <f t="shared" si="2"/>
        <v>801.13</v>
      </c>
      <c r="AN57" s="2">
        <v>55</v>
      </c>
      <c r="AO57" s="72">
        <f t="shared" si="3"/>
        <v>533.33500000000004</v>
      </c>
      <c r="AP57" s="2">
        <v>55</v>
      </c>
      <c r="AQ57" s="73">
        <f t="shared" si="4"/>
        <v>453.91666666666697</v>
      </c>
      <c r="AR57" s="2">
        <v>55</v>
      </c>
      <c r="AS57" s="6">
        <v>0.66</v>
      </c>
    </row>
    <row r="58" spans="1:45" x14ac:dyDescent="0.25">
      <c r="A58" s="2">
        <v>56</v>
      </c>
      <c r="B58" s="6">
        <v>582.64</v>
      </c>
      <c r="C58" s="2">
        <v>56</v>
      </c>
      <c r="D58" s="6">
        <v>457.08</v>
      </c>
      <c r="E58" s="2">
        <v>56</v>
      </c>
      <c r="F58" s="6">
        <v>715.64</v>
      </c>
      <c r="G58" s="2">
        <v>56</v>
      </c>
      <c r="H58" s="134">
        <v>129.31</v>
      </c>
      <c r="I58" s="2">
        <v>56</v>
      </c>
      <c r="J58" s="6">
        <v>29.85</v>
      </c>
      <c r="K58" s="2">
        <v>56</v>
      </c>
      <c r="L58" s="6">
        <v>63.41</v>
      </c>
      <c r="M58" s="2">
        <v>56</v>
      </c>
      <c r="N58" s="6">
        <v>16.72</v>
      </c>
      <c r="O58" s="2">
        <v>56</v>
      </c>
      <c r="P58" s="6">
        <v>11.94</v>
      </c>
      <c r="Q58" s="2">
        <v>56</v>
      </c>
      <c r="R58" s="6">
        <v>8.94</v>
      </c>
      <c r="S58" s="2">
        <v>56</v>
      </c>
      <c r="T58" s="6">
        <v>7.48</v>
      </c>
      <c r="U58" s="2">
        <v>56</v>
      </c>
      <c r="V58" s="6">
        <v>6.59</v>
      </c>
      <c r="W58" s="2">
        <v>56</v>
      </c>
      <c r="X58" s="13">
        <f t="shared" si="5"/>
        <v>14.01</v>
      </c>
      <c r="Y58" s="2">
        <v>56</v>
      </c>
      <c r="AB58" s="6">
        <v>6.99</v>
      </c>
      <c r="AC58" s="6">
        <v>7.02</v>
      </c>
      <c r="AD58" s="2">
        <v>56</v>
      </c>
      <c r="AE58" s="6">
        <v>544.39</v>
      </c>
      <c r="AF58" s="2">
        <v>56</v>
      </c>
      <c r="AG58" s="6">
        <v>44.45</v>
      </c>
      <c r="AH58" s="2">
        <v>56</v>
      </c>
      <c r="AI58" s="6">
        <v>227.45</v>
      </c>
      <c r="AJ58" s="2">
        <v>56</v>
      </c>
      <c r="AK58" s="6">
        <v>548.71</v>
      </c>
      <c r="AL58" s="2">
        <v>56</v>
      </c>
      <c r="AM58" s="72">
        <f t="shared" si="2"/>
        <v>816.29</v>
      </c>
      <c r="AN58" s="2">
        <v>56</v>
      </c>
      <c r="AO58" s="72">
        <f t="shared" si="3"/>
        <v>544.09500000000003</v>
      </c>
      <c r="AP58" s="2">
        <v>56</v>
      </c>
      <c r="AQ58" s="73">
        <f t="shared" si="4"/>
        <v>465.37666666666701</v>
      </c>
      <c r="AR58" s="2">
        <v>56</v>
      </c>
      <c r="AS58" s="6">
        <v>0.67</v>
      </c>
    </row>
    <row r="59" spans="1:45" x14ac:dyDescent="0.25">
      <c r="A59" s="2">
        <v>57</v>
      </c>
      <c r="B59" s="6">
        <v>596.07000000000005</v>
      </c>
      <c r="C59" s="2">
        <v>57</v>
      </c>
      <c r="D59" s="6">
        <v>468.54</v>
      </c>
      <c r="E59" s="2">
        <v>57</v>
      </c>
      <c r="F59" s="6">
        <v>729.81</v>
      </c>
      <c r="G59" s="2">
        <v>57</v>
      </c>
      <c r="H59" s="134">
        <v>134.33000000000001</v>
      </c>
      <c r="I59" s="2">
        <v>57</v>
      </c>
      <c r="J59" s="6">
        <v>30.25</v>
      </c>
      <c r="K59" s="2">
        <v>57</v>
      </c>
      <c r="L59" s="6">
        <v>65.180000000000007</v>
      </c>
      <c r="M59" s="2">
        <v>57</v>
      </c>
      <c r="N59" s="6">
        <v>17.239999999999998</v>
      </c>
      <c r="O59" s="2">
        <v>57</v>
      </c>
      <c r="P59" s="6">
        <v>12.31</v>
      </c>
      <c r="Q59" s="2">
        <v>57</v>
      </c>
      <c r="R59" s="6">
        <v>9.39</v>
      </c>
      <c r="S59" s="2">
        <v>57</v>
      </c>
      <c r="T59" s="6">
        <v>7.84</v>
      </c>
      <c r="U59" s="2">
        <v>57</v>
      </c>
      <c r="V59" s="6">
        <v>6.89</v>
      </c>
      <c r="W59" s="2">
        <v>57</v>
      </c>
      <c r="X59" s="13">
        <f t="shared" si="5"/>
        <v>14.739999999999998</v>
      </c>
      <c r="Y59" s="2">
        <v>57</v>
      </c>
      <c r="AB59" s="6">
        <v>7.35</v>
      </c>
      <c r="AC59" s="6">
        <v>7.39</v>
      </c>
      <c r="AD59" s="2">
        <v>57</v>
      </c>
      <c r="AE59" s="6">
        <v>553.48</v>
      </c>
      <c r="AF59" s="2">
        <v>57</v>
      </c>
      <c r="AG59" s="6">
        <v>44.62</v>
      </c>
      <c r="AH59" s="2">
        <v>57</v>
      </c>
      <c r="AI59" s="6">
        <v>233.71</v>
      </c>
      <c r="AJ59" s="2">
        <v>57</v>
      </c>
      <c r="AK59" s="6">
        <v>560.55999999999995</v>
      </c>
      <c r="AL59" s="2">
        <v>57</v>
      </c>
      <c r="AM59" s="72">
        <f t="shared" si="2"/>
        <v>831.81000000000006</v>
      </c>
      <c r="AN59" s="2">
        <v>57</v>
      </c>
      <c r="AO59" s="72">
        <f t="shared" si="3"/>
        <v>555.07000000000005</v>
      </c>
      <c r="AP59" s="2">
        <v>57</v>
      </c>
      <c r="AQ59" s="73">
        <f t="shared" si="4"/>
        <v>477.22666666666692</v>
      </c>
      <c r="AR59" s="2">
        <v>57</v>
      </c>
      <c r="AS59" s="6">
        <v>0.69</v>
      </c>
    </row>
    <row r="60" spans="1:45" x14ac:dyDescent="0.25">
      <c r="A60" s="2">
        <v>58</v>
      </c>
      <c r="B60" s="6">
        <v>609.77</v>
      </c>
      <c r="C60" s="2">
        <v>58</v>
      </c>
      <c r="D60" s="6">
        <v>480.19</v>
      </c>
      <c r="E60" s="2">
        <v>58</v>
      </c>
      <c r="F60" s="6">
        <v>744.28</v>
      </c>
      <c r="G60" s="2">
        <v>58</v>
      </c>
      <c r="H60" s="134">
        <v>139.66</v>
      </c>
      <c r="I60" s="2">
        <v>58</v>
      </c>
      <c r="J60" s="6">
        <v>30.67</v>
      </c>
      <c r="K60" s="2">
        <v>58</v>
      </c>
      <c r="L60" s="6">
        <v>67.02</v>
      </c>
      <c r="M60" s="2">
        <v>58</v>
      </c>
      <c r="N60" s="6">
        <v>17.809999999999999</v>
      </c>
      <c r="O60" s="2">
        <v>58</v>
      </c>
      <c r="P60" s="6">
        <v>12.72</v>
      </c>
      <c r="Q60" s="2">
        <v>58</v>
      </c>
      <c r="R60" s="6">
        <v>9.9</v>
      </c>
      <c r="S60" s="2">
        <v>58</v>
      </c>
      <c r="T60" s="6">
        <v>8.23</v>
      </c>
      <c r="U60" s="2">
        <v>58</v>
      </c>
      <c r="V60" s="6">
        <v>7.21</v>
      </c>
      <c r="W60" s="2">
        <v>58</v>
      </c>
      <c r="X60" s="13">
        <f t="shared" si="5"/>
        <v>15.51</v>
      </c>
      <c r="Y60" s="2">
        <v>58</v>
      </c>
      <c r="AB60" s="6">
        <v>7.72</v>
      </c>
      <c r="AC60" s="6">
        <v>7.79</v>
      </c>
      <c r="AD60" s="2">
        <v>58</v>
      </c>
      <c r="AE60" s="6">
        <v>562.91</v>
      </c>
      <c r="AF60" s="2">
        <v>58</v>
      </c>
      <c r="AG60" s="6">
        <v>44.79</v>
      </c>
      <c r="AH60" s="2">
        <v>58</v>
      </c>
      <c r="AI60" s="6">
        <v>240.09</v>
      </c>
      <c r="AJ60" s="2">
        <v>58</v>
      </c>
      <c r="AK60" s="6">
        <v>572.88</v>
      </c>
      <c r="AL60" s="2">
        <v>58</v>
      </c>
      <c r="AM60" s="72">
        <f t="shared" si="2"/>
        <v>847.79</v>
      </c>
      <c r="AN60" s="2">
        <v>58</v>
      </c>
      <c r="AO60" s="72">
        <f t="shared" si="3"/>
        <v>566.33500000000004</v>
      </c>
      <c r="AP60" s="2">
        <v>58</v>
      </c>
      <c r="AQ60" s="73">
        <f t="shared" si="4"/>
        <v>489.54666666666697</v>
      </c>
      <c r="AR60" s="2">
        <v>58</v>
      </c>
      <c r="AS60" s="6">
        <v>0.7</v>
      </c>
    </row>
    <row r="61" spans="1:45" x14ac:dyDescent="0.25">
      <c r="A61" s="2">
        <v>59</v>
      </c>
      <c r="B61" s="6">
        <v>623.5</v>
      </c>
      <c r="C61" s="2">
        <v>59</v>
      </c>
      <c r="D61" s="6">
        <v>491.71</v>
      </c>
      <c r="E61" s="2">
        <v>59</v>
      </c>
      <c r="F61" s="6">
        <v>758.75</v>
      </c>
      <c r="G61" s="2">
        <v>59</v>
      </c>
      <c r="H61" s="134">
        <v>145.34</v>
      </c>
      <c r="I61" s="2">
        <v>59</v>
      </c>
      <c r="J61" s="6">
        <v>31.09</v>
      </c>
      <c r="K61" s="2">
        <v>59</v>
      </c>
      <c r="L61" s="6">
        <v>68.89</v>
      </c>
      <c r="M61" s="2">
        <v>59</v>
      </c>
      <c r="N61" s="6">
        <v>18.41</v>
      </c>
      <c r="O61" s="2">
        <v>59</v>
      </c>
      <c r="P61" s="6">
        <v>13.15</v>
      </c>
      <c r="Q61" s="2">
        <v>59</v>
      </c>
      <c r="R61" s="6">
        <v>10.38</v>
      </c>
      <c r="S61" s="2">
        <v>59</v>
      </c>
      <c r="T61" s="6">
        <v>8.65</v>
      </c>
      <c r="U61" s="2">
        <v>59</v>
      </c>
      <c r="V61" s="6">
        <v>7.56</v>
      </c>
      <c r="W61" s="2">
        <v>59</v>
      </c>
      <c r="X61" s="13">
        <f t="shared" si="5"/>
        <v>16.329999999999998</v>
      </c>
      <c r="Y61" s="2">
        <v>59</v>
      </c>
      <c r="AB61" s="6">
        <v>8.1199999999999992</v>
      </c>
      <c r="AC61" s="6">
        <v>8.2100000000000009</v>
      </c>
      <c r="AD61" s="2">
        <v>59</v>
      </c>
      <c r="AE61" s="6">
        <v>572.52</v>
      </c>
      <c r="AF61" s="2">
        <v>59</v>
      </c>
      <c r="AG61" s="6">
        <v>44.95</v>
      </c>
      <c r="AH61" s="2">
        <v>59</v>
      </c>
      <c r="AI61" s="6">
        <v>246.58</v>
      </c>
      <c r="AJ61" s="2">
        <v>59</v>
      </c>
      <c r="AK61" s="6">
        <v>585.26</v>
      </c>
      <c r="AL61" s="2">
        <v>59</v>
      </c>
      <c r="AM61" s="72">
        <f t="shared" si="2"/>
        <v>864.05000000000007</v>
      </c>
      <c r="AN61" s="2">
        <v>59</v>
      </c>
      <c r="AO61" s="72">
        <f t="shared" si="3"/>
        <v>577.79</v>
      </c>
      <c r="AP61" s="2">
        <v>59</v>
      </c>
      <c r="AQ61" s="73">
        <f t="shared" si="4"/>
        <v>501.92666666666696</v>
      </c>
      <c r="AR61" s="2">
        <v>59</v>
      </c>
      <c r="AS61" s="6">
        <v>0.72</v>
      </c>
    </row>
    <row r="62" spans="1:45" x14ac:dyDescent="0.25">
      <c r="A62" s="2">
        <v>60</v>
      </c>
      <c r="B62" s="6">
        <v>637.28</v>
      </c>
      <c r="C62" s="2">
        <v>60</v>
      </c>
      <c r="D62" s="6">
        <v>503.1</v>
      </c>
      <c r="E62" s="2">
        <v>60</v>
      </c>
      <c r="F62" s="6">
        <v>773.25</v>
      </c>
      <c r="G62" s="2">
        <v>60</v>
      </c>
      <c r="H62" s="134">
        <v>151.4</v>
      </c>
      <c r="I62" s="2">
        <v>60</v>
      </c>
      <c r="J62" s="6">
        <v>31.5</v>
      </c>
      <c r="K62" s="2">
        <v>60</v>
      </c>
      <c r="L62" s="6">
        <v>70.8</v>
      </c>
      <c r="M62" s="2">
        <v>60</v>
      </c>
      <c r="N62" s="6">
        <v>19.02</v>
      </c>
      <c r="O62" s="2">
        <v>60</v>
      </c>
      <c r="P62" s="6">
        <v>13.59</v>
      </c>
      <c r="Q62" s="2">
        <v>60</v>
      </c>
      <c r="R62" s="6">
        <v>10.82</v>
      </c>
      <c r="S62" s="2">
        <v>60</v>
      </c>
      <c r="T62" s="6">
        <v>9.1</v>
      </c>
      <c r="U62" s="2">
        <v>60</v>
      </c>
      <c r="V62" s="6">
        <v>7.93</v>
      </c>
      <c r="W62" s="2">
        <v>60</v>
      </c>
      <c r="X62" s="13">
        <f t="shared" si="5"/>
        <v>17.21</v>
      </c>
      <c r="Y62" s="2">
        <v>60</v>
      </c>
      <c r="AB62" s="6">
        <v>8.5399999999999991</v>
      </c>
      <c r="AC62" s="6">
        <v>8.67</v>
      </c>
      <c r="AD62" s="2">
        <v>60</v>
      </c>
      <c r="AE62" s="6">
        <v>582.32000000000005</v>
      </c>
      <c r="AF62" s="2">
        <v>60</v>
      </c>
      <c r="AG62" s="6">
        <v>45.1</v>
      </c>
      <c r="AH62" s="2">
        <v>60</v>
      </c>
      <c r="AI62" s="6">
        <v>253.21</v>
      </c>
      <c r="AJ62" s="2">
        <v>60</v>
      </c>
      <c r="AK62" s="6">
        <v>597.73</v>
      </c>
      <c r="AL62" s="2">
        <v>60</v>
      </c>
      <c r="AM62" s="72">
        <f t="shared" si="2"/>
        <v>880.63000000000011</v>
      </c>
      <c r="AN62" s="2">
        <v>60</v>
      </c>
      <c r="AO62" s="72">
        <f t="shared" si="3"/>
        <v>589.47</v>
      </c>
      <c r="AP62" s="2">
        <v>60</v>
      </c>
      <c r="AQ62" s="73">
        <f t="shared" si="4"/>
        <v>514.39666666666699</v>
      </c>
      <c r="AR62" s="2">
        <v>60</v>
      </c>
      <c r="AS62" s="6">
        <v>0.73</v>
      </c>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EB1DF-0856-4E06-B0C4-9970C3B241D8}">
  <dimension ref="A1:J40"/>
  <sheetViews>
    <sheetView topLeftCell="A14" workbookViewId="0">
      <selection activeCell="I33" sqref="I33"/>
    </sheetView>
  </sheetViews>
  <sheetFormatPr baseColWidth="10" defaultColWidth="11.5703125" defaultRowHeight="15" x14ac:dyDescent="0.25"/>
  <cols>
    <col min="1" max="1" width="18.85546875" style="77" customWidth="1"/>
    <col min="2" max="2" width="11.5703125" style="77" customWidth="1"/>
    <col min="3" max="3" width="11.7109375" style="77" customWidth="1"/>
    <col min="4" max="4" width="24.85546875" style="77" customWidth="1"/>
    <col min="5" max="5" width="24" style="77" customWidth="1"/>
    <col min="6" max="6" width="21.85546875" style="77" customWidth="1"/>
    <col min="7" max="7" width="23" style="77" customWidth="1"/>
    <col min="8" max="8" width="21.140625" style="77" customWidth="1"/>
    <col min="9" max="9" width="19.140625" style="77" customWidth="1"/>
    <col min="10" max="16384" width="11.5703125" style="77"/>
  </cols>
  <sheetData>
    <row r="1" spans="1:8" hidden="1" x14ac:dyDescent="0.25"/>
    <row r="2" spans="1:8" s="129" customFormat="1" hidden="1" x14ac:dyDescent="0.25"/>
    <row r="3" spans="1:8" s="129" customFormat="1" hidden="1" x14ac:dyDescent="0.25">
      <c r="A3" s="130" t="s">
        <v>58</v>
      </c>
    </row>
    <row r="4" spans="1:8" s="129" customFormat="1" hidden="1" x14ac:dyDescent="0.25">
      <c r="C4" s="129" t="s">
        <v>287</v>
      </c>
      <c r="D4" s="129" t="s">
        <v>288</v>
      </c>
      <c r="E4" s="129" t="s">
        <v>297</v>
      </c>
      <c r="F4" s="129" t="s">
        <v>292</v>
      </c>
      <c r="G4" s="129" t="s">
        <v>296</v>
      </c>
    </row>
    <row r="5" spans="1:8" s="129" customFormat="1" hidden="1" x14ac:dyDescent="0.25">
      <c r="A5" s="129" t="s">
        <v>0</v>
      </c>
      <c r="B5" s="129">
        <v>0.91349999999999998</v>
      </c>
      <c r="C5" s="129">
        <f>VLOOKUP(Übersicht!C29,$A$5:$B$12,2,FALSE)</f>
        <v>0.91390000000000005</v>
      </c>
      <c r="D5" s="129" t="s">
        <v>289</v>
      </c>
      <c r="E5" s="129">
        <f>Übersicht!F29*C5</f>
        <v>288.22669589999998</v>
      </c>
      <c r="G5" s="129">
        <f>E5/2</f>
        <v>144.11334794999999</v>
      </c>
    </row>
    <row r="6" spans="1:8" s="129" customFormat="1" hidden="1" x14ac:dyDescent="0.25">
      <c r="A6" s="129" t="s">
        <v>54</v>
      </c>
      <c r="B6" s="129">
        <v>0.91379999999999995</v>
      </c>
      <c r="D6" s="129" t="s">
        <v>290</v>
      </c>
      <c r="E6" s="129">
        <f>Übersicht!F41*C5</f>
        <v>0</v>
      </c>
      <c r="F6" s="129">
        <f>Übersicht!F60</f>
        <v>134.16</v>
      </c>
      <c r="G6" s="129">
        <f>E6/2</f>
        <v>0</v>
      </c>
    </row>
    <row r="7" spans="1:8" s="129" customFormat="1" hidden="1" x14ac:dyDescent="0.25">
      <c r="A7" s="129" t="s">
        <v>1</v>
      </c>
      <c r="B7" s="129">
        <v>0.91359999999999997</v>
      </c>
      <c r="D7" s="129" t="s">
        <v>30</v>
      </c>
      <c r="E7" s="129">
        <f>F6*F7</f>
        <v>0</v>
      </c>
      <c r="F7" s="129">
        <f>F18</f>
        <v>0</v>
      </c>
      <c r="G7" s="129">
        <f>E7/2</f>
        <v>0</v>
      </c>
    </row>
    <row r="8" spans="1:8" s="129" customFormat="1" hidden="1" x14ac:dyDescent="0.25">
      <c r="A8" s="129" t="s">
        <v>55</v>
      </c>
      <c r="B8" s="129">
        <v>0.91390000000000005</v>
      </c>
      <c r="D8" s="129" t="s">
        <v>4</v>
      </c>
      <c r="E8" s="129">
        <f>Übersicht!F37</f>
        <v>40.204999999999998</v>
      </c>
    </row>
    <row r="9" spans="1:8" s="129" customFormat="1" hidden="1" x14ac:dyDescent="0.25">
      <c r="A9" s="129" t="s">
        <v>2</v>
      </c>
      <c r="B9" s="129">
        <v>0.91359999999999997</v>
      </c>
      <c r="D9" s="129" t="s">
        <v>5</v>
      </c>
      <c r="E9" s="129">
        <f>Übersicht!F31</f>
        <v>68.53</v>
      </c>
      <c r="G9" s="129">
        <f>E9/2</f>
        <v>34.265000000000001</v>
      </c>
    </row>
    <row r="10" spans="1:8" s="129" customFormat="1" hidden="1" x14ac:dyDescent="0.25">
      <c r="A10" s="129" t="s">
        <v>244</v>
      </c>
      <c r="B10" s="129">
        <v>0.91359999999999997</v>
      </c>
      <c r="D10" s="129" t="s">
        <v>291</v>
      </c>
      <c r="E10" s="129">
        <f>E12+E7</f>
        <v>356.75669589999995</v>
      </c>
      <c r="G10" s="129">
        <f>G5+G6+G7+G9</f>
        <v>178.37834794999998</v>
      </c>
    </row>
    <row r="11" spans="1:8" s="129" customFormat="1" hidden="1" x14ac:dyDescent="0.25">
      <c r="A11" s="129" t="s">
        <v>246</v>
      </c>
      <c r="B11" s="129">
        <v>0.91379999999999995</v>
      </c>
      <c r="E11" s="129" t="str">
        <f>IF(Übersicht!H29="", "", E10-(Übersicht!F29-Übersicht!H29))</f>
        <v/>
      </c>
      <c r="G11" s="129" t="str">
        <f>IF(Übersicht!H29="", "", G10-(Übersicht!F29-Übersicht!H29))</f>
        <v/>
      </c>
    </row>
    <row r="12" spans="1:8" s="129" customFormat="1" hidden="1" x14ac:dyDescent="0.25">
      <c r="A12" s="129" t="s">
        <v>247</v>
      </c>
      <c r="B12" s="129">
        <v>0.91549999999999998</v>
      </c>
      <c r="D12" s="129" t="s">
        <v>298</v>
      </c>
      <c r="E12" s="129">
        <f>E5+E6+E9</f>
        <v>356.75669589999995</v>
      </c>
    </row>
    <row r="13" spans="1:8" hidden="1" x14ac:dyDescent="0.25">
      <c r="A13" s="129"/>
      <c r="B13" s="129"/>
      <c r="C13" s="129"/>
      <c r="D13" s="129"/>
      <c r="E13" s="129"/>
      <c r="F13" s="129"/>
      <c r="G13" s="129"/>
      <c r="H13" s="129"/>
    </row>
    <row r="15" spans="1:8" x14ac:dyDescent="0.25">
      <c r="A15" s="156" t="s">
        <v>317</v>
      </c>
      <c r="B15" s="157"/>
      <c r="C15" s="158"/>
      <c r="D15" s="158"/>
    </row>
    <row r="16" spans="1:8" x14ac:dyDescent="0.25">
      <c r="A16" s="108"/>
      <c r="B16" s="110"/>
    </row>
    <row r="17" spans="1:9" x14ac:dyDescent="0.25">
      <c r="A17" s="112">
        <f>(IF(Übersicht!C18&lt;=12096, 0,
IF(Übersicht!C18&lt;=17443, (980.14 * ((Übersicht!C18 - 12096)/10000) + 1400) * ((Übersicht!C18 - 12096)/10000),
IF(Übersicht!C18&lt;=68480, (216.16 * ((Übersicht!C18 - 17443)/10000) + 2397) * ((Übersicht!C18 - 17443)/10000) + 896,
IF(Übersicht!C18&lt;=277825, 0.42 * Übersicht!C18 - 9344,
0.45 * Übersicht!C18 - 17098)))))/Übersicht!C18</f>
        <v>0.19252042075805717</v>
      </c>
      <c r="B17" s="113">
        <f>(IF(Übersicht!C18&lt;=12096, 0,
IF(Übersicht!C18&lt;=17443,
    (2*980.14*((Übersicht!C18-12096)/10000)+1400)/100,
IF(Übersicht!C18&lt;=68480,
    24 + (42-24)*(Übersicht!C18-17443)/(68480-17443),
IF(Übersicht!C18&lt;=277825,
    42,
45)))))/100</f>
        <v>0.32660893077571174</v>
      </c>
    </row>
    <row r="19" spans="1:9" hidden="1" x14ac:dyDescent="0.25"/>
    <row r="20" spans="1:9" hidden="1" x14ac:dyDescent="0.25"/>
    <row r="21" spans="1:9" hidden="1" x14ac:dyDescent="0.25"/>
    <row r="22" spans="1:9" hidden="1" x14ac:dyDescent="0.25">
      <c r="A22" s="76"/>
    </row>
    <row r="23" spans="1:9" hidden="1" x14ac:dyDescent="0.25"/>
    <row r="24" spans="1:9" hidden="1" x14ac:dyDescent="0.25">
      <c r="A24" s="76"/>
      <c r="B24" s="41"/>
    </row>
    <row r="25" spans="1:9" hidden="1" x14ac:dyDescent="0.25">
      <c r="B25" s="78"/>
    </row>
    <row r="26" spans="1:9" x14ac:dyDescent="0.25">
      <c r="B26" s="78"/>
    </row>
    <row r="27" spans="1:9" x14ac:dyDescent="0.25">
      <c r="B27" s="78"/>
    </row>
    <row r="28" spans="1:9" s="76" customFormat="1" ht="29.45" customHeight="1" x14ac:dyDescent="0.25">
      <c r="A28" s="119" t="s">
        <v>322</v>
      </c>
      <c r="B28" s="107"/>
      <c r="C28" s="76" t="s">
        <v>318</v>
      </c>
      <c r="D28" s="125" t="s">
        <v>319</v>
      </c>
      <c r="E28" s="124" t="s">
        <v>320</v>
      </c>
      <c r="F28" s="124" t="s">
        <v>324</v>
      </c>
      <c r="G28" s="124" t="s">
        <v>323</v>
      </c>
      <c r="H28" s="124" t="s">
        <v>325</v>
      </c>
      <c r="I28" s="123" t="s">
        <v>326</v>
      </c>
    </row>
    <row r="29" spans="1:9" x14ac:dyDescent="0.25">
      <c r="A29" s="115" t="s">
        <v>0</v>
      </c>
      <c r="B29" s="114">
        <v>0.91349999999999998</v>
      </c>
      <c r="C29" s="77">
        <f>VLOOKUP(Übersicht!C29,$A$5:$B$12,2,FALSE)</f>
        <v>0.91390000000000005</v>
      </c>
      <c r="D29" s="120" t="str">
        <f>Übersicht!C29</f>
        <v>KVS3 + EKV2</v>
      </c>
      <c r="E29" s="116">
        <f>Übersicht!F29*C29</f>
        <v>288.22669589999998</v>
      </c>
      <c r="F29" s="116">
        <f>E29</f>
        <v>288.22669589999998</v>
      </c>
      <c r="H29" s="116" t="str">
        <f>IF(Übersicht!H29="", "", Übersicht!H29*C29)</f>
        <v/>
      </c>
      <c r="I29" s="110"/>
    </row>
    <row r="30" spans="1:9" x14ac:dyDescent="0.25">
      <c r="A30" s="115" t="s">
        <v>54</v>
      </c>
      <c r="B30" s="114">
        <v>0.91379999999999995</v>
      </c>
      <c r="D30" s="120" t="str">
        <f>Übersicht!C31</f>
        <v>PVN</v>
      </c>
      <c r="E30" s="116">
        <f>Übersicht!F31</f>
        <v>68.53</v>
      </c>
      <c r="F30" s="116">
        <f>E30</f>
        <v>68.53</v>
      </c>
      <c r="H30" s="116">
        <f>E30</f>
        <v>68.53</v>
      </c>
      <c r="I30" s="110"/>
    </row>
    <row r="31" spans="1:9" x14ac:dyDescent="0.25">
      <c r="A31" s="115" t="s">
        <v>1</v>
      </c>
      <c r="B31" s="114">
        <v>0.91359999999999997</v>
      </c>
      <c r="D31" s="120" t="str">
        <f>Übersicht!C41</f>
        <v>nicht gewünscht</v>
      </c>
      <c r="E31" s="117">
        <f>Übersicht!F41*C29</f>
        <v>0</v>
      </c>
      <c r="F31" s="117">
        <f>E31</f>
        <v>0</v>
      </c>
      <c r="H31" s="117">
        <f>E31</f>
        <v>0</v>
      </c>
      <c r="I31" s="110"/>
    </row>
    <row r="32" spans="1:9" x14ac:dyDescent="0.25">
      <c r="A32" s="115" t="s">
        <v>55</v>
      </c>
      <c r="B32" s="114">
        <v>0.91390000000000005</v>
      </c>
      <c r="D32" s="122" t="s">
        <v>30</v>
      </c>
      <c r="F32" s="117">
        <f>Übersicht!F60*E36</f>
        <v>112.85232889573608</v>
      </c>
      <c r="H32" s="117">
        <f>Übersicht!F60*E36</f>
        <v>112.85232889573608</v>
      </c>
      <c r="I32" s="110"/>
    </row>
    <row r="33" spans="1:10" x14ac:dyDescent="0.25">
      <c r="A33" s="115" t="s">
        <v>2</v>
      </c>
      <c r="B33" s="114">
        <v>0.91359999999999997</v>
      </c>
      <c r="D33" s="120" t="s">
        <v>321</v>
      </c>
      <c r="E33" s="116">
        <f>SUM(E29:E31)</f>
        <v>356.75669589999995</v>
      </c>
      <c r="F33" s="127">
        <f>SUM(F29:F32)</f>
        <v>469.60902479573605</v>
      </c>
      <c r="G33" s="116">
        <f>IF(Übersicht!F44="", 0, (F33 - (Übersicht!F60 / 2)) - Übersicht!F44)+Übersicht!F35/2</f>
        <v>0</v>
      </c>
      <c r="H33" s="127">
        <f>SUM(H29:H32)</f>
        <v>181.38232889573607</v>
      </c>
      <c r="I33" s="109">
        <f>IF(Übersicht!F44="", 0, (H33 - (Übersicht!F60 / 2)) - Übersicht!F44)+Übersicht!F35/2</f>
        <v>0</v>
      </c>
    </row>
    <row r="34" spans="1:10" x14ac:dyDescent="0.25">
      <c r="A34" s="115" t="s">
        <v>244</v>
      </c>
      <c r="B34" s="114">
        <v>0.91359999999999997</v>
      </c>
      <c r="D34" s="120"/>
      <c r="G34" s="116"/>
      <c r="I34" s="109"/>
    </row>
    <row r="35" spans="1:10" x14ac:dyDescent="0.25">
      <c r="A35" s="115" t="s">
        <v>246</v>
      </c>
      <c r="B35" s="114">
        <v>0.91379999999999995</v>
      </c>
      <c r="D35" s="108"/>
      <c r="G35" s="127">
        <f>G33</f>
        <v>0</v>
      </c>
      <c r="I35" s="128">
        <f>I33</f>
        <v>0</v>
      </c>
    </row>
    <row r="36" spans="1:10" x14ac:dyDescent="0.25">
      <c r="A36" s="115" t="s">
        <v>247</v>
      </c>
      <c r="B36" s="114">
        <v>0.91549999999999998</v>
      </c>
      <c r="D36" s="121" t="s">
        <v>292</v>
      </c>
      <c r="E36" s="126">
        <f>E33/Übersicht!F48</f>
        <v>0.84117716827471734</v>
      </c>
      <c r="F36" s="118"/>
      <c r="G36" s="118"/>
      <c r="H36" s="118"/>
      <c r="I36" s="111"/>
    </row>
    <row r="37" spans="1:10" x14ac:dyDescent="0.25">
      <c r="B37" s="78"/>
    </row>
    <row r="38" spans="1:10" x14ac:dyDescent="0.25">
      <c r="B38" s="78"/>
    </row>
    <row r="39" spans="1:10" x14ac:dyDescent="0.25">
      <c r="B39" s="78"/>
      <c r="J39" s="127"/>
    </row>
    <row r="40" spans="1:10" x14ac:dyDescent="0.25">
      <c r="B40" s="78"/>
    </row>
  </sheetData>
  <mergeCells count="1">
    <mergeCell ref="A15:D15"/>
  </mergeCells>
  <pageMargins left="0.7" right="0.7" top="0.78740157499999996" bottom="0.78740157499999996" header="0.3" footer="0.3"/>
  <customProperties>
    <customPr name="layoutContexts"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0A33C-7833-4F3F-8E48-89F3F5AFAB8F}">
  <dimension ref="A2:G37"/>
  <sheetViews>
    <sheetView workbookViewId="0">
      <selection activeCell="J5" sqref="J5"/>
    </sheetView>
  </sheetViews>
  <sheetFormatPr baseColWidth="10" defaultRowHeight="15" x14ac:dyDescent="0.25"/>
  <cols>
    <col min="3" max="3" width="16.140625" customWidth="1"/>
    <col min="5" max="5" width="16" customWidth="1"/>
    <col min="7" max="7" width="16.28515625" customWidth="1"/>
  </cols>
  <sheetData>
    <row r="2" spans="1:7" x14ac:dyDescent="0.25">
      <c r="A2" t="s">
        <v>68</v>
      </c>
      <c r="C2">
        <f>(Übersicht!C12+67)-Übersicht!C14</f>
        <v>31</v>
      </c>
    </row>
    <row r="7" spans="1:7" ht="44.25" customHeight="1" x14ac:dyDescent="0.25">
      <c r="A7" s="159" t="s">
        <v>78</v>
      </c>
      <c r="B7" s="159"/>
      <c r="C7">
        <f>Übersicht!K80/12</f>
        <v>131.77695993542281</v>
      </c>
      <c r="E7" s="159" t="s">
        <v>79</v>
      </c>
      <c r="F7" s="159"/>
      <c r="G7">
        <f>Übersicht!M80/12</f>
        <v>223.55826886266036</v>
      </c>
    </row>
    <row r="9" spans="1:7" x14ac:dyDescent="0.25">
      <c r="A9" t="s">
        <v>69</v>
      </c>
      <c r="C9">
        <f>IF(Tabelle2!C1&gt;55,0,IF((67-Tabelle2!C1)&gt;35,E24,IF((67-Tabelle2!C1)&gt;=30,E22,IF((67-Tabelle2!C1)&gt;=25,E20,IF((67-Tabelle2!C1)&gt;=20,E18,IF((67-Tabelle2!C1)&gt;=15,E16,IF((67-Tabelle2!C1)&gt;=12,E14,"")))))))</f>
        <v>396.0899454581226</v>
      </c>
      <c r="G9">
        <f>IF(Tabelle2!C1&gt;55,0,((IF((67-Tabelle2!C1)&gt;35,G24,IF((67-Tabelle2!C1)&gt;=30,G22,IF((67-Tabelle2!C1)&gt;=25,G20,IF((67-Tabelle2!C1)&gt;=20,G18,IF((67-Tabelle2!C1)&gt;=15,G16,IF((67-Tabelle2!C1)&gt;=12,G14)))))))))</f>
        <v>671.96255372651558</v>
      </c>
    </row>
    <row r="11" spans="1:7" x14ac:dyDescent="0.25">
      <c r="A11" t="s">
        <v>70</v>
      </c>
      <c r="C11">
        <f>IF(Tabelle2!C1&gt;55,0,IF((67-Tabelle2!C1)&gt;35,E37,IF((67-Tabelle2!C1)&gt;=30,E35,IF((67-Tabelle2!C1)&gt;=25,E33,IF((67-Tabelle2!C1)&gt;=20,E31,IF((67-Tabelle2!C1)&gt;=15,E29,IF((67-Tabelle2!C1)&gt;=12,E27,"")))))))</f>
        <v>111677.53402903586</v>
      </c>
      <c r="G11">
        <f>IF(Tabelle2!C1&gt;55,0,((IF((67-Tabelle2!C1)&gt;35,G37,IF((67-Tabelle2!C1)&gt;=30,G35,IF((67-Tabelle2!C1)&gt;=25,G33,IF((67-Tabelle2!C1)&gt;=20,G31,IF((67-Tabelle2!C1)&gt;=15,G29,IF((67-Tabelle2!C1)&gt;=12,G27)))))))))</f>
        <v>189459.79775688317</v>
      </c>
    </row>
    <row r="13" spans="1:7" x14ac:dyDescent="0.25">
      <c r="A13" s="5" t="s">
        <v>43</v>
      </c>
      <c r="B13" t="s">
        <v>72</v>
      </c>
      <c r="C13" t="s">
        <v>71</v>
      </c>
      <c r="E13" t="s">
        <v>73</v>
      </c>
      <c r="G13" t="s">
        <v>80</v>
      </c>
    </row>
    <row r="14" spans="1:7" x14ac:dyDescent="0.25">
      <c r="B14">
        <v>12</v>
      </c>
      <c r="C14">
        <v>50.03</v>
      </c>
      <c r="E14">
        <f>50.03*C7/83.33</f>
        <v>79.116780338043966</v>
      </c>
      <c r="G14">
        <f>50.03*G7/83.33</f>
        <v>134.22081112683185</v>
      </c>
    </row>
    <row r="15" spans="1:7" x14ac:dyDescent="0.25">
      <c r="B15">
        <v>12.5</v>
      </c>
      <c r="C15">
        <v>63.91</v>
      </c>
      <c r="E15">
        <f>63.91*C7/83.33</f>
        <v>101.06642877082528</v>
      </c>
      <c r="G15">
        <f>63.91*G7/83.33</f>
        <v>171.45816588278677</v>
      </c>
    </row>
    <row r="16" spans="1:7" x14ac:dyDescent="0.25">
      <c r="B16">
        <v>15</v>
      </c>
      <c r="C16">
        <v>84.43</v>
      </c>
      <c r="E16">
        <f>84.43*C7/83.33</f>
        <v>133.51648538758849</v>
      </c>
      <c r="G16">
        <f>84.43*G7/83.33</f>
        <v>226.50935605513519</v>
      </c>
    </row>
    <row r="17" spans="1:7" x14ac:dyDescent="0.25">
      <c r="B17">
        <v>17.5</v>
      </c>
      <c r="C17">
        <v>99.83</v>
      </c>
      <c r="E17">
        <f>99.83*C7/83.33</f>
        <v>157.86984171790783</v>
      </c>
      <c r="G17">
        <f>99.83*G7/83.33</f>
        <v>267.82457674978258</v>
      </c>
    </row>
    <row r="18" spans="1:7" x14ac:dyDescent="0.25">
      <c r="B18">
        <v>20</v>
      </c>
      <c r="C18">
        <v>127.55</v>
      </c>
      <c r="E18">
        <f>127.55*C7/83.33</f>
        <v>201.70588311248264</v>
      </c>
      <c r="G18">
        <f>127.55*G7/83.33</f>
        <v>342.19197400014792</v>
      </c>
    </row>
    <row r="19" spans="1:7" x14ac:dyDescent="0.25">
      <c r="B19">
        <v>22.5</v>
      </c>
      <c r="C19">
        <v>144.91999999999999</v>
      </c>
      <c r="E19">
        <f>144.92*C7/83.33</f>
        <v>229.17457138895321</v>
      </c>
      <c r="G19">
        <f>144.92*G7/83.33</f>
        <v>388.79232357586386</v>
      </c>
    </row>
    <row r="20" spans="1:7" x14ac:dyDescent="0.25">
      <c r="B20">
        <v>25</v>
      </c>
      <c r="C20">
        <v>182.87</v>
      </c>
      <c r="E20">
        <f>182.87*C7/83.33</f>
        <v>289.18819948866877</v>
      </c>
      <c r="G20">
        <f>182.87*G7/83.33</f>
        <v>490.60483171624509</v>
      </c>
    </row>
    <row r="21" spans="1:7" x14ac:dyDescent="0.25">
      <c r="B21">
        <v>27.5</v>
      </c>
      <c r="C21">
        <v>201.7</v>
      </c>
      <c r="E21">
        <f>201.7*C7/83.33</f>
        <v>318.9657124561956</v>
      </c>
      <c r="G21">
        <f>201.7*G7/83.33</f>
        <v>541.12207883833673</v>
      </c>
    </row>
    <row r="22" spans="1:7" x14ac:dyDescent="0.25">
      <c r="B22">
        <v>30</v>
      </c>
      <c r="C22">
        <v>250.47</v>
      </c>
      <c r="E22">
        <f>250.47*C7/83.33</f>
        <v>396.0899454581226</v>
      </c>
      <c r="G22">
        <f>250.47*G7/83.33</f>
        <v>671.96255372651558</v>
      </c>
    </row>
    <row r="23" spans="1:7" x14ac:dyDescent="0.25">
      <c r="B23">
        <v>32.5</v>
      </c>
      <c r="C23">
        <v>274.77</v>
      </c>
      <c r="E23">
        <f>274.77*C7/83.33</f>
        <v>434.51764408323686</v>
      </c>
      <c r="G23">
        <f>274.77*G7/83.33</f>
        <v>737.15475261482277</v>
      </c>
    </row>
    <row r="24" spans="1:7" x14ac:dyDescent="0.25">
      <c r="B24">
        <v>35</v>
      </c>
      <c r="C24">
        <v>340.6</v>
      </c>
      <c r="E24">
        <f>340.6*C7/83.33</f>
        <v>538.6203354614787</v>
      </c>
      <c r="G24">
        <f>340.6*G7/83.33</f>
        <v>913.76390705174742</v>
      </c>
    </row>
    <row r="26" spans="1:7" x14ac:dyDescent="0.25">
      <c r="A26" s="5" t="s">
        <v>70</v>
      </c>
      <c r="B26" t="s">
        <v>72</v>
      </c>
      <c r="C26" t="s">
        <v>71</v>
      </c>
      <c r="E26" t="s">
        <v>74</v>
      </c>
      <c r="G26" t="s">
        <v>81</v>
      </c>
    </row>
    <row r="27" spans="1:7" x14ac:dyDescent="0.25">
      <c r="B27">
        <v>12</v>
      </c>
      <c r="C27" s="21">
        <v>13009</v>
      </c>
      <c r="E27">
        <f>13009*C7/83.33</f>
        <v>20572.260552021067</v>
      </c>
      <c r="G27">
        <f>13009*G7/83.33</f>
        <v>34900.630260822611</v>
      </c>
    </row>
    <row r="28" spans="1:7" x14ac:dyDescent="0.25">
      <c r="B28">
        <v>12.5</v>
      </c>
      <c r="C28" s="21">
        <v>17892</v>
      </c>
      <c r="E28">
        <f>17892*C7/83.33</f>
        <v>28294.172172861934</v>
      </c>
      <c r="G28">
        <f>17892*G7/83.33</f>
        <v>48000.774588872184</v>
      </c>
    </row>
    <row r="29" spans="1:7" x14ac:dyDescent="0.25">
      <c r="B29">
        <v>15</v>
      </c>
      <c r="C29" s="21">
        <v>22441</v>
      </c>
      <c r="E29">
        <f>22441*C7/83.33</f>
        <v>35487.900610954319</v>
      </c>
      <c r="G29">
        <f>22441*G7/83.33</f>
        <v>60204.86153302485</v>
      </c>
    </row>
    <row r="30" spans="1:7" x14ac:dyDescent="0.25">
      <c r="B30">
        <v>17.5</v>
      </c>
      <c r="C30" s="21">
        <v>28590</v>
      </c>
      <c r="E30">
        <f>28590*C7/83.33</f>
        <v>45211.847888560405</v>
      </c>
      <c r="G30">
        <f>28590*G7/83.33</f>
        <v>76701.43893895908</v>
      </c>
    </row>
    <row r="31" spans="1:7" x14ac:dyDescent="0.25">
      <c r="B31">
        <v>20</v>
      </c>
      <c r="C31" s="21">
        <v>34609</v>
      </c>
      <c r="E31">
        <f>34609*C7/83.33</f>
        <v>54730.214885455993</v>
      </c>
      <c r="G31">
        <f>34609*G7/83.33</f>
        <v>92849.251494873533</v>
      </c>
    </row>
    <row r="32" spans="1:7" x14ac:dyDescent="0.25">
      <c r="B32">
        <v>22.5</v>
      </c>
      <c r="C32" s="21">
        <v>42406</v>
      </c>
      <c r="E32">
        <f>42406*C7/83.33</f>
        <v>67060.287567761188</v>
      </c>
      <c r="G32">
        <f>42406*G7/83.33</f>
        <v>113767.09407644277</v>
      </c>
    </row>
    <row r="33" spans="2:7" x14ac:dyDescent="0.25">
      <c r="B33">
        <v>25</v>
      </c>
      <c r="C33" s="21">
        <v>50328</v>
      </c>
      <c r="E33">
        <f>50328*C7/83.33</f>
        <v>79588.033596903391</v>
      </c>
      <c r="G33">
        <f>50328*G7/83.33</f>
        <v>135020.28747533867</v>
      </c>
    </row>
    <row r="34" spans="2:7" x14ac:dyDescent="0.25">
      <c r="B34">
        <v>27.5</v>
      </c>
      <c r="C34" s="21">
        <v>60244</v>
      </c>
      <c r="E34">
        <f>60244*C7/83.33</f>
        <v>95269.06485478954</v>
      </c>
      <c r="G34">
        <f>60244*G7/83.33</f>
        <v>161622.99711222982</v>
      </c>
    </row>
    <row r="35" spans="2:7" x14ac:dyDescent="0.25">
      <c r="B35">
        <v>30</v>
      </c>
      <c r="C35" s="21">
        <v>70620</v>
      </c>
      <c r="E35">
        <f>70620*C7/83.33</f>
        <v>111677.53402903586</v>
      </c>
      <c r="G35">
        <f>70620*G7/83.33</f>
        <v>189459.79775688317</v>
      </c>
    </row>
    <row r="36" spans="2:7" x14ac:dyDescent="0.25">
      <c r="B36">
        <v>32.5</v>
      </c>
      <c r="C36" s="21">
        <v>83696</v>
      </c>
      <c r="E36">
        <f>83696*C7/83.33</f>
        <v>132355.74749496157</v>
      </c>
      <c r="G36">
        <f>83696*G7/83.33</f>
        <v>224540.17605579292</v>
      </c>
    </row>
    <row r="37" spans="2:7" x14ac:dyDescent="0.25">
      <c r="B37">
        <v>35</v>
      </c>
      <c r="C37" s="21">
        <v>97762.83</v>
      </c>
      <c r="E37">
        <f>97763*C7/83.33</f>
        <v>154601.11525461107</v>
      </c>
      <c r="G37">
        <f>97763*G7/83.33</f>
        <v>262279.21563446854</v>
      </c>
    </row>
  </sheetData>
  <mergeCells count="2">
    <mergeCell ref="A7:B7"/>
    <mergeCell ref="E7:F7"/>
  </mergeCells>
  <pageMargins left="0.7" right="0.7" top="0.78740157499999996" bottom="0.78740157499999996" header="0.3" footer="0.3"/>
  <customProperties>
    <customPr name="layoutContexts"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B7B1-5E7D-47DC-8717-DE5B575187BB}">
  <dimension ref="B2:H96"/>
  <sheetViews>
    <sheetView workbookViewId="0">
      <selection activeCell="G40" sqref="G40"/>
    </sheetView>
  </sheetViews>
  <sheetFormatPr baseColWidth="10" defaultRowHeight="15" x14ac:dyDescent="0.25"/>
  <cols>
    <col min="2" max="2" width="38.28515625" style="44" customWidth="1"/>
    <col min="3" max="3" width="16" style="43" customWidth="1"/>
    <col min="4" max="4" width="40.28515625" customWidth="1"/>
    <col min="7" max="7" width="18.7109375" customWidth="1"/>
    <col min="8" max="8" width="22" customWidth="1"/>
  </cols>
  <sheetData>
    <row r="2" spans="2:8" s="5" customFormat="1" x14ac:dyDescent="0.25">
      <c r="B2" s="46" t="s">
        <v>219</v>
      </c>
      <c r="C2" s="47" t="s">
        <v>220</v>
      </c>
      <c r="D2" s="5" t="s">
        <v>221</v>
      </c>
      <c r="G2" s="5" t="s">
        <v>222</v>
      </c>
      <c r="H2" s="5" t="s">
        <v>223</v>
      </c>
    </row>
    <row r="3" spans="2:8" x14ac:dyDescent="0.25">
      <c r="B3" s="44" t="s">
        <v>193</v>
      </c>
      <c r="C3" s="42">
        <v>2.98E-2</v>
      </c>
      <c r="D3" s="40" t="s">
        <v>91</v>
      </c>
      <c r="G3" s="49" t="s">
        <v>224</v>
      </c>
      <c r="H3" s="48">
        <v>4.2000000000000003E-2</v>
      </c>
    </row>
    <row r="4" spans="2:8" x14ac:dyDescent="0.25">
      <c r="B4" s="44" t="s">
        <v>194</v>
      </c>
      <c r="C4" s="42">
        <v>2.98E-2</v>
      </c>
      <c r="D4" s="40" t="s">
        <v>92</v>
      </c>
      <c r="G4" s="49" t="s">
        <v>225</v>
      </c>
      <c r="H4" s="48">
        <v>3.5999999999999997E-2</v>
      </c>
    </row>
    <row r="5" spans="2:8" x14ac:dyDescent="0.25">
      <c r="B5" s="44" t="s">
        <v>93</v>
      </c>
      <c r="C5" s="42">
        <v>2.9899999999999999E-2</v>
      </c>
      <c r="D5" s="40" t="s">
        <v>94</v>
      </c>
      <c r="G5" s="49" t="s">
        <v>226</v>
      </c>
      <c r="H5" s="48">
        <v>3.3500000000000002E-2</v>
      </c>
    </row>
    <row r="6" spans="2:8" x14ac:dyDescent="0.25">
      <c r="B6" s="44" t="s">
        <v>195</v>
      </c>
      <c r="C6" s="42">
        <v>2.69E-2</v>
      </c>
      <c r="D6" s="40" t="s">
        <v>95</v>
      </c>
      <c r="G6" s="49" t="s">
        <v>227</v>
      </c>
      <c r="H6" s="48">
        <v>3.1E-2</v>
      </c>
    </row>
    <row r="7" spans="2:8" x14ac:dyDescent="0.25">
      <c r="B7" s="44" t="s">
        <v>96</v>
      </c>
      <c r="C7" s="42">
        <v>3.2899999999999999E-2</v>
      </c>
      <c r="D7" s="40" t="s">
        <v>97</v>
      </c>
      <c r="G7" s="49" t="s">
        <v>228</v>
      </c>
      <c r="H7" s="48">
        <v>2.8500000000000001E-2</v>
      </c>
    </row>
    <row r="8" spans="2:8" ht="30" x14ac:dyDescent="0.25">
      <c r="B8" s="44" t="s">
        <v>196</v>
      </c>
      <c r="C8" s="42">
        <v>3.5000000000000003E-2</v>
      </c>
      <c r="D8" s="40" t="s">
        <v>98</v>
      </c>
      <c r="G8" s="49" t="s">
        <v>229</v>
      </c>
      <c r="H8" s="48">
        <v>2.5999999999999999E-2</v>
      </c>
    </row>
    <row r="9" spans="2:8" x14ac:dyDescent="0.25">
      <c r="B9" s="44" t="s">
        <v>197</v>
      </c>
      <c r="C9" s="42">
        <v>2.9899999999999999E-2</v>
      </c>
      <c r="D9" s="40" t="s">
        <v>99</v>
      </c>
    </row>
    <row r="10" spans="2:8" x14ac:dyDescent="0.25">
      <c r="B10" s="44" t="s">
        <v>198</v>
      </c>
      <c r="C10" s="42">
        <v>3.1E-2</v>
      </c>
      <c r="D10" s="40" t="s">
        <v>100</v>
      </c>
    </row>
    <row r="11" spans="2:8" x14ac:dyDescent="0.25">
      <c r="B11" s="44" t="s">
        <v>199</v>
      </c>
      <c r="C11" s="42">
        <v>3.2899999999999999E-2</v>
      </c>
      <c r="D11" s="40" t="s">
        <v>101</v>
      </c>
    </row>
    <row r="12" spans="2:8" x14ac:dyDescent="0.25">
      <c r="B12" s="44" t="s">
        <v>200</v>
      </c>
      <c r="C12" s="42">
        <v>2.47E-2</v>
      </c>
      <c r="D12" s="40" t="s">
        <v>102</v>
      </c>
    </row>
    <row r="13" spans="2:8" x14ac:dyDescent="0.25">
      <c r="B13" s="44" t="s">
        <v>201</v>
      </c>
      <c r="C13" s="42">
        <v>2.8899999999999999E-2</v>
      </c>
      <c r="D13" s="40" t="s">
        <v>103</v>
      </c>
    </row>
    <row r="14" spans="2:8" x14ac:dyDescent="0.25">
      <c r="B14" s="44" t="s">
        <v>104</v>
      </c>
      <c r="C14" s="42">
        <v>2.5999999999999999E-2</v>
      </c>
      <c r="D14" s="40" t="s">
        <v>105</v>
      </c>
    </row>
    <row r="15" spans="2:8" x14ac:dyDescent="0.25">
      <c r="B15" s="44" t="s">
        <v>106</v>
      </c>
      <c r="C15" s="42">
        <v>3.6499999999999998E-2</v>
      </c>
      <c r="D15" s="40" t="s">
        <v>105</v>
      </c>
    </row>
    <row r="16" spans="2:8" x14ac:dyDescent="0.25">
      <c r="B16" s="44" t="s">
        <v>107</v>
      </c>
      <c r="C16" s="42">
        <v>3.2899999999999999E-2</v>
      </c>
      <c r="D16" s="40" t="s">
        <v>105</v>
      </c>
    </row>
    <row r="17" spans="2:4" x14ac:dyDescent="0.25">
      <c r="B17" s="44" t="s">
        <v>108</v>
      </c>
      <c r="C17" s="42">
        <v>3.7900000000000003E-2</v>
      </c>
      <c r="D17" s="40" t="s">
        <v>109</v>
      </c>
    </row>
    <row r="18" spans="2:4" ht="60" x14ac:dyDescent="0.25">
      <c r="B18" s="44" t="s">
        <v>110</v>
      </c>
      <c r="C18" s="42">
        <v>3.2000000000000001E-2</v>
      </c>
      <c r="D18" s="40" t="s">
        <v>111</v>
      </c>
    </row>
    <row r="19" spans="2:4" x14ac:dyDescent="0.25">
      <c r="B19" s="44" t="s">
        <v>207</v>
      </c>
      <c r="C19" s="42">
        <v>2.7799999999999998E-2</v>
      </c>
      <c r="D19" s="40" t="s">
        <v>112</v>
      </c>
    </row>
    <row r="20" spans="2:4" ht="30" x14ac:dyDescent="0.25">
      <c r="B20" s="44" t="s">
        <v>208</v>
      </c>
      <c r="C20" s="42">
        <v>1.9800000000000002E-2</v>
      </c>
      <c r="D20" s="40" t="s">
        <v>113</v>
      </c>
    </row>
    <row r="21" spans="2:4" ht="30" x14ac:dyDescent="0.25">
      <c r="B21" s="44" t="s">
        <v>209</v>
      </c>
      <c r="C21" s="42">
        <v>2.8000000000000001E-2</v>
      </c>
      <c r="D21" s="40" t="s">
        <v>113</v>
      </c>
    </row>
    <row r="22" spans="2:4" x14ac:dyDescent="0.25">
      <c r="B22" s="44" t="s">
        <v>210</v>
      </c>
      <c r="C22" s="42">
        <v>3.8899999999999997E-2</v>
      </c>
      <c r="D22" s="40" t="s">
        <v>105</v>
      </c>
    </row>
    <row r="23" spans="2:4" ht="30" x14ac:dyDescent="0.25">
      <c r="B23" s="44" t="s">
        <v>211</v>
      </c>
      <c r="C23" s="42">
        <v>2.4E-2</v>
      </c>
      <c r="D23" s="40" t="s">
        <v>113</v>
      </c>
    </row>
    <row r="24" spans="2:4" ht="30" x14ac:dyDescent="0.25">
      <c r="B24" s="44" t="s">
        <v>212</v>
      </c>
      <c r="C24" s="42">
        <v>3.49E-2</v>
      </c>
      <c r="D24" s="40" t="s">
        <v>114</v>
      </c>
    </row>
    <row r="25" spans="2:4" x14ac:dyDescent="0.25">
      <c r="B25" s="44" t="s">
        <v>115</v>
      </c>
      <c r="C25" s="42">
        <v>3.6900000000000002E-2</v>
      </c>
      <c r="D25" s="40" t="s">
        <v>105</v>
      </c>
    </row>
    <row r="26" spans="2:4" x14ac:dyDescent="0.25">
      <c r="B26" s="44" t="s">
        <v>116</v>
      </c>
      <c r="C26" s="42">
        <v>3.39E-2</v>
      </c>
      <c r="D26" s="40" t="s">
        <v>95</v>
      </c>
    </row>
    <row r="27" spans="2:4" ht="30" x14ac:dyDescent="0.25">
      <c r="B27" s="44" t="s">
        <v>117</v>
      </c>
      <c r="C27" s="42">
        <v>2.9499999999999998E-2</v>
      </c>
      <c r="D27" s="40" t="s">
        <v>113</v>
      </c>
    </row>
    <row r="28" spans="2:4" ht="30" x14ac:dyDescent="0.25">
      <c r="B28" s="44" t="s">
        <v>118</v>
      </c>
      <c r="C28" s="42">
        <v>3.4000000000000002E-2</v>
      </c>
      <c r="D28" s="40" t="s">
        <v>113</v>
      </c>
    </row>
    <row r="29" spans="2:4" ht="90" x14ac:dyDescent="0.25">
      <c r="B29" s="44" t="s">
        <v>119</v>
      </c>
      <c r="C29" s="42">
        <v>3.7999999999999999E-2</v>
      </c>
      <c r="D29" s="40" t="s">
        <v>120</v>
      </c>
    </row>
    <row r="30" spans="2:4" x14ac:dyDescent="0.25">
      <c r="B30" s="44" t="s">
        <v>121</v>
      </c>
      <c r="C30" s="42">
        <v>3.39E-2</v>
      </c>
      <c r="D30" s="40" t="s">
        <v>101</v>
      </c>
    </row>
    <row r="31" spans="2:4" ht="30" x14ac:dyDescent="0.25">
      <c r="B31" s="44" t="s">
        <v>122</v>
      </c>
      <c r="C31" s="42">
        <v>2.5000000000000001E-2</v>
      </c>
      <c r="D31" s="40" t="s">
        <v>113</v>
      </c>
    </row>
    <row r="32" spans="2:4" ht="45" x14ac:dyDescent="0.25">
      <c r="B32" s="44" t="s">
        <v>123</v>
      </c>
      <c r="C32" s="42">
        <v>3.49E-2</v>
      </c>
      <c r="D32" s="40" t="s">
        <v>124</v>
      </c>
    </row>
    <row r="33" spans="2:4" x14ac:dyDescent="0.25">
      <c r="B33" s="44" t="s">
        <v>125</v>
      </c>
      <c r="C33" s="42">
        <v>2.4799999999999999E-2</v>
      </c>
      <c r="D33" s="40" t="s">
        <v>95</v>
      </c>
    </row>
    <row r="34" spans="2:4" x14ac:dyDescent="0.25">
      <c r="B34" s="44" t="s">
        <v>126</v>
      </c>
      <c r="C34" s="42">
        <v>2.18E-2</v>
      </c>
      <c r="D34" s="40" t="s">
        <v>105</v>
      </c>
    </row>
    <row r="35" spans="2:4" ht="45" x14ac:dyDescent="0.25">
      <c r="B35" s="44" t="s">
        <v>127</v>
      </c>
      <c r="C35" s="42">
        <v>2.9899999999999999E-2</v>
      </c>
      <c r="D35" s="40" t="s">
        <v>128</v>
      </c>
    </row>
    <row r="36" spans="2:4" x14ac:dyDescent="0.25">
      <c r="B36" s="44" t="s">
        <v>236</v>
      </c>
      <c r="C36" s="42">
        <v>3.4000000000000002E-2</v>
      </c>
      <c r="D36" s="40" t="s">
        <v>105</v>
      </c>
    </row>
    <row r="37" spans="2:4" ht="30" x14ac:dyDescent="0.25">
      <c r="B37" s="44" t="s">
        <v>129</v>
      </c>
      <c r="C37" s="42">
        <v>2.5000000000000001E-2</v>
      </c>
      <c r="D37" s="40" t="s">
        <v>113</v>
      </c>
    </row>
    <row r="38" spans="2:4" x14ac:dyDescent="0.25">
      <c r="B38" s="44" t="s">
        <v>130</v>
      </c>
      <c r="C38" s="42">
        <v>4.3799999999999999E-2</v>
      </c>
      <c r="D38" s="40" t="s">
        <v>131</v>
      </c>
    </row>
    <row r="39" spans="2:4" x14ac:dyDescent="0.25">
      <c r="B39" s="44" t="s">
        <v>132</v>
      </c>
      <c r="C39" s="42">
        <v>2.9899999999999999E-2</v>
      </c>
      <c r="D39" s="40" t="s">
        <v>105</v>
      </c>
    </row>
    <row r="40" spans="2:4" ht="30" x14ac:dyDescent="0.25">
      <c r="B40" s="44" t="s">
        <v>133</v>
      </c>
      <c r="C40" s="42">
        <v>4.2000000000000003E-2</v>
      </c>
      <c r="D40" s="40" t="s">
        <v>113</v>
      </c>
    </row>
    <row r="41" spans="2:4" ht="60" x14ac:dyDescent="0.25">
      <c r="B41" s="44" t="s">
        <v>134</v>
      </c>
      <c r="C41" s="42">
        <v>3.9E-2</v>
      </c>
      <c r="D41" s="40" t="s">
        <v>135</v>
      </c>
    </row>
    <row r="42" spans="2:4" x14ac:dyDescent="0.25">
      <c r="B42" s="44" t="s">
        <v>136</v>
      </c>
      <c r="C42" s="42">
        <v>3.5000000000000003E-2</v>
      </c>
      <c r="D42" s="40" t="s">
        <v>105</v>
      </c>
    </row>
    <row r="43" spans="2:4" ht="30" x14ac:dyDescent="0.25">
      <c r="B43" s="44" t="s">
        <v>137</v>
      </c>
      <c r="C43" s="42">
        <v>2.8000000000000001E-2</v>
      </c>
      <c r="D43" s="40" t="s">
        <v>113</v>
      </c>
    </row>
    <row r="44" spans="2:4" x14ac:dyDescent="0.25">
      <c r="B44" s="44" t="s">
        <v>138</v>
      </c>
      <c r="C44" s="42">
        <v>3.9E-2</v>
      </c>
      <c r="D44" s="40" t="s">
        <v>105</v>
      </c>
    </row>
    <row r="45" spans="2:4" x14ac:dyDescent="0.25">
      <c r="B45" s="44" t="s">
        <v>139</v>
      </c>
      <c r="C45" s="42">
        <v>3.7900000000000003E-2</v>
      </c>
      <c r="D45" s="40" t="s">
        <v>105</v>
      </c>
    </row>
    <row r="46" spans="2:4" ht="30" x14ac:dyDescent="0.25">
      <c r="B46" s="44" t="s">
        <v>140</v>
      </c>
      <c r="C46" s="42">
        <v>2.5000000000000001E-2</v>
      </c>
      <c r="D46" s="40" t="s">
        <v>141</v>
      </c>
    </row>
    <row r="47" spans="2:4" ht="30" x14ac:dyDescent="0.25">
      <c r="B47" s="44" t="s">
        <v>142</v>
      </c>
      <c r="C47" s="42">
        <v>3.7999999999999999E-2</v>
      </c>
      <c r="D47" s="40" t="s">
        <v>113</v>
      </c>
    </row>
    <row r="48" spans="2:4" ht="30" x14ac:dyDescent="0.25">
      <c r="B48" s="44" t="s">
        <v>143</v>
      </c>
      <c r="C48" s="42">
        <v>3.5000000000000003E-2</v>
      </c>
      <c r="D48" s="40" t="s">
        <v>113</v>
      </c>
    </row>
    <row r="49" spans="2:4" x14ac:dyDescent="0.25">
      <c r="B49" s="44" t="s">
        <v>144</v>
      </c>
      <c r="C49" s="42">
        <v>3.9899999999999998E-2</v>
      </c>
      <c r="D49" s="40" t="s">
        <v>94</v>
      </c>
    </row>
    <row r="50" spans="2:4" x14ac:dyDescent="0.25">
      <c r="B50" s="44" t="s">
        <v>145</v>
      </c>
      <c r="C50" s="42">
        <v>2.7900000000000001E-2</v>
      </c>
      <c r="D50" s="40" t="s">
        <v>94</v>
      </c>
    </row>
    <row r="51" spans="2:4" x14ac:dyDescent="0.25">
      <c r="B51" s="44" t="s">
        <v>146</v>
      </c>
      <c r="C51" s="42">
        <v>3.1899999999999998E-2</v>
      </c>
      <c r="D51" s="40" t="s">
        <v>147</v>
      </c>
    </row>
    <row r="52" spans="2:4" x14ac:dyDescent="0.25">
      <c r="B52" s="44" t="s">
        <v>148</v>
      </c>
      <c r="C52" s="42">
        <v>3.8899999999999997E-2</v>
      </c>
      <c r="D52" s="40" t="s">
        <v>105</v>
      </c>
    </row>
    <row r="53" spans="2:4" ht="30" x14ac:dyDescent="0.25">
      <c r="B53" s="44" t="s">
        <v>237</v>
      </c>
      <c r="C53" s="42">
        <v>3.9E-2</v>
      </c>
      <c r="D53" s="40" t="s">
        <v>113</v>
      </c>
    </row>
    <row r="54" spans="2:4" x14ac:dyDescent="0.25">
      <c r="B54" s="44" t="s">
        <v>149</v>
      </c>
      <c r="C54" s="42">
        <v>4.3499999999999997E-2</v>
      </c>
      <c r="D54" s="40" t="s">
        <v>150</v>
      </c>
    </row>
    <row r="55" spans="2:4" ht="60" x14ac:dyDescent="0.25">
      <c r="B55" s="44" t="s">
        <v>214</v>
      </c>
      <c r="C55" s="42">
        <v>3.9899999999999998E-2</v>
      </c>
      <c r="D55" s="40" t="s">
        <v>151</v>
      </c>
    </row>
    <row r="56" spans="2:4" ht="75" x14ac:dyDescent="0.25">
      <c r="B56" s="44" t="s">
        <v>152</v>
      </c>
      <c r="C56" s="42">
        <v>3.4000000000000002E-2</v>
      </c>
      <c r="D56" s="40" t="s">
        <v>153</v>
      </c>
    </row>
    <row r="57" spans="2:4" x14ac:dyDescent="0.25">
      <c r="B57" s="44" t="s">
        <v>333</v>
      </c>
      <c r="C57" s="42">
        <v>3.8800000000000001E-2</v>
      </c>
      <c r="D57" s="40" t="s">
        <v>154</v>
      </c>
    </row>
    <row r="58" spans="2:4" x14ac:dyDescent="0.25">
      <c r="B58" s="44" t="s">
        <v>155</v>
      </c>
      <c r="C58" s="42">
        <v>4.3900000000000002E-2</v>
      </c>
      <c r="D58" s="40" t="s">
        <v>105</v>
      </c>
    </row>
    <row r="59" spans="2:4" ht="30" x14ac:dyDescent="0.25">
      <c r="B59" s="44" t="s">
        <v>156</v>
      </c>
      <c r="C59" s="42">
        <v>2.3900000000000001E-2</v>
      </c>
      <c r="D59" s="40" t="s">
        <v>113</v>
      </c>
    </row>
    <row r="60" spans="2:4" ht="30" x14ac:dyDescent="0.25">
      <c r="B60" s="44" t="s">
        <v>157</v>
      </c>
      <c r="C60" s="42">
        <v>3.9E-2</v>
      </c>
      <c r="D60" s="40" t="s">
        <v>113</v>
      </c>
    </row>
    <row r="61" spans="2:4" ht="90" x14ac:dyDescent="0.25">
      <c r="B61" s="44" t="s">
        <v>158</v>
      </c>
      <c r="C61" s="42">
        <v>3.1800000000000002E-2</v>
      </c>
      <c r="D61" s="40" t="s">
        <v>159</v>
      </c>
    </row>
    <row r="62" spans="2:4" x14ac:dyDescent="0.25">
      <c r="B62" s="44" t="s">
        <v>202</v>
      </c>
      <c r="C62" s="42">
        <v>3.3300000000000003E-2</v>
      </c>
      <c r="D62" s="40" t="s">
        <v>105</v>
      </c>
    </row>
    <row r="63" spans="2:4" x14ac:dyDescent="0.25">
      <c r="B63" s="44" t="s">
        <v>160</v>
      </c>
      <c r="C63" s="42">
        <v>3.2000000000000001E-2</v>
      </c>
      <c r="D63" s="40" t="s">
        <v>105</v>
      </c>
    </row>
    <row r="64" spans="2:4" x14ac:dyDescent="0.25">
      <c r="B64" s="44" t="s">
        <v>161</v>
      </c>
      <c r="C64" s="42">
        <v>3.2500000000000001E-2</v>
      </c>
      <c r="D64" s="40" t="s">
        <v>105</v>
      </c>
    </row>
    <row r="65" spans="2:4" x14ac:dyDescent="0.25">
      <c r="B65" s="44" t="s">
        <v>203</v>
      </c>
      <c r="C65" s="42">
        <v>3.9800000000000002E-2</v>
      </c>
      <c r="D65" s="40" t="s">
        <v>105</v>
      </c>
    </row>
    <row r="66" spans="2:4" ht="30" x14ac:dyDescent="0.25">
      <c r="B66" s="44" t="s">
        <v>204</v>
      </c>
      <c r="C66" s="42">
        <v>2.29E-2</v>
      </c>
      <c r="D66" s="40" t="s">
        <v>113</v>
      </c>
    </row>
    <row r="67" spans="2:4" x14ac:dyDescent="0.25">
      <c r="B67" s="44" t="s">
        <v>162</v>
      </c>
      <c r="C67" s="42">
        <v>2.5899999999999999E-2</v>
      </c>
      <c r="D67" s="40" t="s">
        <v>105</v>
      </c>
    </row>
    <row r="68" spans="2:4" x14ac:dyDescent="0.25">
      <c r="B68" s="44" t="s">
        <v>163</v>
      </c>
      <c r="C68" s="42">
        <v>3.9E-2</v>
      </c>
      <c r="D68" s="40" t="s">
        <v>105</v>
      </c>
    </row>
    <row r="69" spans="2:4" x14ac:dyDescent="0.25">
      <c r="B69" s="44" t="s">
        <v>216</v>
      </c>
      <c r="C69" s="42">
        <v>2.8899999999999999E-2</v>
      </c>
      <c r="D69" s="40" t="s">
        <v>105</v>
      </c>
    </row>
    <row r="70" spans="2:4" x14ac:dyDescent="0.25">
      <c r="B70" s="44" t="s">
        <v>164</v>
      </c>
      <c r="C70" s="42">
        <v>4.2999999999999997E-2</v>
      </c>
      <c r="D70" s="40" t="s">
        <v>105</v>
      </c>
    </row>
    <row r="71" spans="2:4" x14ac:dyDescent="0.25">
      <c r="B71" s="44" t="s">
        <v>165</v>
      </c>
      <c r="C71" s="42">
        <v>3.4000000000000002E-2</v>
      </c>
      <c r="D71" s="40" t="s">
        <v>105</v>
      </c>
    </row>
    <row r="72" spans="2:4" x14ac:dyDescent="0.25">
      <c r="B72" s="44" t="s">
        <v>166</v>
      </c>
      <c r="C72" s="42">
        <v>3.39E-2</v>
      </c>
      <c r="D72" s="40" t="s">
        <v>105</v>
      </c>
    </row>
    <row r="73" spans="2:4" x14ac:dyDescent="0.25">
      <c r="B73" s="44" t="s">
        <v>167</v>
      </c>
      <c r="C73" s="42">
        <v>3.2500000000000001E-2</v>
      </c>
      <c r="D73" s="40" t="s">
        <v>168</v>
      </c>
    </row>
    <row r="74" spans="2:4" x14ac:dyDescent="0.25">
      <c r="B74" s="44" t="s">
        <v>213</v>
      </c>
      <c r="C74" s="42">
        <v>4.3499999999999997E-2</v>
      </c>
      <c r="D74" s="40" t="s">
        <v>169</v>
      </c>
    </row>
    <row r="75" spans="2:4" ht="30" x14ac:dyDescent="0.25">
      <c r="B75" s="44" t="s">
        <v>170</v>
      </c>
      <c r="C75" s="42">
        <v>3.39E-2</v>
      </c>
      <c r="D75" s="40" t="s">
        <v>113</v>
      </c>
    </row>
    <row r="76" spans="2:4" x14ac:dyDescent="0.25">
      <c r="B76" s="44" t="s">
        <v>238</v>
      </c>
      <c r="C76" s="42">
        <v>3.78E-2</v>
      </c>
      <c r="D76" s="40" t="s">
        <v>105</v>
      </c>
    </row>
    <row r="77" spans="2:4" x14ac:dyDescent="0.25">
      <c r="B77" s="44" t="s">
        <v>171</v>
      </c>
      <c r="C77" s="42">
        <v>4.2999999999999997E-2</v>
      </c>
      <c r="D77" s="40" t="s">
        <v>105</v>
      </c>
    </row>
    <row r="78" spans="2:4" ht="30" x14ac:dyDescent="0.25">
      <c r="B78" s="44" t="s">
        <v>172</v>
      </c>
      <c r="C78" s="42">
        <v>2.4799999999999999E-2</v>
      </c>
      <c r="D78" s="40" t="s">
        <v>113</v>
      </c>
    </row>
    <row r="79" spans="2:4" ht="30" x14ac:dyDescent="0.25">
      <c r="B79" s="44" t="s">
        <v>173</v>
      </c>
      <c r="C79" s="42">
        <v>1.4E-2</v>
      </c>
      <c r="D79" s="40" t="s">
        <v>113</v>
      </c>
    </row>
    <row r="80" spans="2:4" ht="30" x14ac:dyDescent="0.25">
      <c r="B80" s="44" t="s">
        <v>174</v>
      </c>
      <c r="C80" s="42">
        <v>3.2000000000000001E-2</v>
      </c>
      <c r="D80" s="40" t="s">
        <v>113</v>
      </c>
    </row>
    <row r="81" spans="2:4" ht="30" x14ac:dyDescent="0.25">
      <c r="B81" s="44" t="s">
        <v>175</v>
      </c>
      <c r="C81" s="42">
        <v>3.9699999999999999E-2</v>
      </c>
      <c r="D81" s="40" t="s">
        <v>113</v>
      </c>
    </row>
    <row r="82" spans="2:4" ht="75" x14ac:dyDescent="0.25">
      <c r="B82" s="44" t="s">
        <v>205</v>
      </c>
      <c r="C82" s="42">
        <v>3.8600000000000002E-2</v>
      </c>
      <c r="D82" s="40" t="s">
        <v>176</v>
      </c>
    </row>
    <row r="83" spans="2:4" x14ac:dyDescent="0.25">
      <c r="B83" s="44" t="s">
        <v>177</v>
      </c>
      <c r="C83" s="42">
        <v>3.5999999999999997E-2</v>
      </c>
      <c r="D83" s="40" t="s">
        <v>105</v>
      </c>
    </row>
    <row r="84" spans="2:4" x14ac:dyDescent="0.25">
      <c r="B84" s="44" t="s">
        <v>178</v>
      </c>
      <c r="C84" s="42">
        <v>3.6999999999999998E-2</v>
      </c>
      <c r="D84" s="40" t="s">
        <v>105</v>
      </c>
    </row>
    <row r="85" spans="2:4" x14ac:dyDescent="0.25">
      <c r="B85" s="44" t="s">
        <v>206</v>
      </c>
      <c r="C85" s="42">
        <v>3.49E-2</v>
      </c>
      <c r="D85" s="40" t="s">
        <v>105</v>
      </c>
    </row>
    <row r="86" spans="2:4" x14ac:dyDescent="0.25">
      <c r="B86" s="44" t="s">
        <v>179</v>
      </c>
      <c r="C86" s="42">
        <v>3.2899999999999999E-2</v>
      </c>
      <c r="D86" s="40" t="s">
        <v>105</v>
      </c>
    </row>
    <row r="87" spans="2:4" ht="90" x14ac:dyDescent="0.25">
      <c r="B87" s="44" t="s">
        <v>180</v>
      </c>
      <c r="C87" s="42">
        <v>3.9E-2</v>
      </c>
      <c r="D87" s="40" t="s">
        <v>181</v>
      </c>
    </row>
    <row r="88" spans="2:4" x14ac:dyDescent="0.25">
      <c r="B88" s="44" t="s">
        <v>215</v>
      </c>
      <c r="C88" s="42">
        <v>2.9000000000000001E-2</v>
      </c>
      <c r="D88" s="40" t="s">
        <v>105</v>
      </c>
    </row>
    <row r="89" spans="2:4" ht="60" x14ac:dyDescent="0.25">
      <c r="B89" s="44" t="s">
        <v>182</v>
      </c>
      <c r="C89" s="42">
        <v>2.98E-2</v>
      </c>
      <c r="D89" s="40" t="s">
        <v>183</v>
      </c>
    </row>
    <row r="90" spans="2:4" ht="30" x14ac:dyDescent="0.25">
      <c r="B90" s="44" t="s">
        <v>184</v>
      </c>
      <c r="C90" s="41" t="s">
        <v>185</v>
      </c>
      <c r="D90" s="40" t="s">
        <v>186</v>
      </c>
    </row>
    <row r="91" spans="2:4" ht="30" x14ac:dyDescent="0.25">
      <c r="B91" s="44" t="s">
        <v>187</v>
      </c>
      <c r="C91" s="42">
        <v>2.3E-2</v>
      </c>
      <c r="D91" s="40" t="s">
        <v>113</v>
      </c>
    </row>
    <row r="92" spans="2:4" x14ac:dyDescent="0.25">
      <c r="B92" s="44" t="s">
        <v>188</v>
      </c>
      <c r="C92" s="42">
        <v>2.69E-2</v>
      </c>
      <c r="D92" s="40" t="s">
        <v>105</v>
      </c>
    </row>
    <row r="93" spans="2:4" x14ac:dyDescent="0.25">
      <c r="B93" s="44" t="s">
        <v>189</v>
      </c>
      <c r="C93" s="42">
        <v>2.5000000000000001E-2</v>
      </c>
      <c r="D93" s="40" t="s">
        <v>105</v>
      </c>
    </row>
    <row r="94" spans="2:4" x14ac:dyDescent="0.25">
      <c r="B94" s="44" t="s">
        <v>190</v>
      </c>
      <c r="C94" s="42">
        <v>4.19E-2</v>
      </c>
      <c r="D94" s="40" t="s">
        <v>105</v>
      </c>
    </row>
    <row r="95" spans="2:4" x14ac:dyDescent="0.25">
      <c r="B95" s="44" t="s">
        <v>191</v>
      </c>
      <c r="C95" s="42">
        <v>3.7900000000000003E-2</v>
      </c>
      <c r="D95" s="40" t="s">
        <v>105</v>
      </c>
    </row>
    <row r="96" spans="2:4" x14ac:dyDescent="0.25">
      <c r="B96" s="44" t="s">
        <v>192</v>
      </c>
      <c r="C96" s="42">
        <v>2.8500000000000001E-2</v>
      </c>
      <c r="D96" s="40" t="s">
        <v>105</v>
      </c>
    </row>
  </sheetData>
  <pageMargins left="0.7" right="0.7" top="0.78740157499999996" bottom="0.78740157499999996" header="0.3" footer="0.3"/>
  <customProperties>
    <customPr name="layoutContexts"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Übersicht</vt:lpstr>
      <vt:lpstr>Tabelle1</vt:lpstr>
      <vt:lpstr>Tabelle2</vt:lpstr>
      <vt:lpstr>Beiträge</vt:lpstr>
      <vt:lpstr>Steuer</vt:lpstr>
      <vt:lpstr>Rentenberechnung</vt:lpstr>
      <vt:lpstr>GKVListe</vt:lpstr>
      <vt:lpstr>Übersicht!Druckbereich</vt:lpstr>
      <vt:lpstr>krankAngestellt</vt:lpstr>
      <vt:lpstr>krankSelbständig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Garwels, Ralf-Dieter</dc:creator>
  <cp:lastModifiedBy>Garwels, Ralf-Dieter</cp:lastModifiedBy>
  <cp:lastPrinted>2025-07-02T07:18:37Z</cp:lastPrinted>
  <dcterms:created xsi:type="dcterms:W3CDTF">2024-10-22T07:58:27Z</dcterms:created>
  <dcterms:modified xsi:type="dcterms:W3CDTF">2026-01-16T07:55:19Z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2025-04-02T07:48:19Z</vt:filetime>
  </property>
</Properties>
</file>